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30" yWindow="765" windowWidth="10005" windowHeight="8505"/>
  </bookViews>
  <sheets>
    <sheet name="4" sheetId="12" r:id="rId1"/>
    <sheet name="5" sheetId="13" r:id="rId2"/>
    <sheet name="6" sheetId="14" r:id="rId3"/>
  </sheets>
  <definedNames>
    <definedName name="_xlnm.Print_Titles" localSheetId="2">'6'!$11:$14</definedName>
    <definedName name="_xlnm.Print_Area" localSheetId="0">'4'!$A$1:$P$54</definedName>
    <definedName name="_xlnm.Print_Area" localSheetId="1">'5'!$A$1:$U$193</definedName>
    <definedName name="_xlnm.Print_Area" localSheetId="2">'6'!$A$1:$O$69</definedName>
  </definedNames>
  <calcPr calcId="145621" fullCalcOnLoad="1" calcOnSave="0"/>
</workbook>
</file>

<file path=xl/calcChain.xml><?xml version="1.0" encoding="utf-8"?>
<calcChain xmlns="http://schemas.openxmlformats.org/spreadsheetml/2006/main">
  <c r="K46" i="14" l="1"/>
  <c r="K38" i="14"/>
  <c r="K37" i="14"/>
  <c r="K35" i="14"/>
  <c r="K29" i="14"/>
  <c r="K20" i="14"/>
  <c r="E20" i="14"/>
  <c r="K30" i="14"/>
  <c r="K21" i="14"/>
  <c r="E21" i="14"/>
  <c r="K28" i="14"/>
  <c r="E28" i="14"/>
  <c r="Q185" i="13"/>
  <c r="Q182" i="13"/>
  <c r="Q154" i="13"/>
  <c r="Q171" i="13"/>
  <c r="Q175" i="13"/>
  <c r="Q120" i="13"/>
  <c r="Q123" i="13"/>
  <c r="Q63" i="13"/>
  <c r="Q61" i="13"/>
  <c r="Q62" i="13"/>
  <c r="Q21" i="13"/>
  <c r="Q119" i="13"/>
  <c r="Q80" i="13"/>
  <c r="Q65" i="13"/>
  <c r="Q23" i="13"/>
  <c r="Q22" i="13"/>
  <c r="Q27" i="13"/>
  <c r="P33" i="12"/>
  <c r="O33" i="12"/>
  <c r="P31" i="12"/>
  <c r="O31" i="12"/>
  <c r="O27" i="12"/>
  <c r="O25" i="12"/>
  <c r="L56" i="12"/>
  <c r="M56" i="12"/>
  <c r="N56" i="12"/>
  <c r="O56" i="12"/>
  <c r="P56" i="12"/>
  <c r="L57" i="12"/>
  <c r="M57" i="12"/>
  <c r="N57" i="12"/>
  <c r="O57" i="12"/>
  <c r="P57" i="12"/>
  <c r="K57" i="12"/>
  <c r="K56" i="12"/>
  <c r="L30" i="14"/>
  <c r="M30" i="14"/>
  <c r="N30" i="14"/>
  <c r="O30" i="14"/>
  <c r="J30" i="14"/>
  <c r="L28" i="14"/>
  <c r="M28" i="14"/>
  <c r="N28" i="14"/>
  <c r="O28" i="14"/>
  <c r="L29" i="14"/>
  <c r="M29" i="14"/>
  <c r="N29" i="14"/>
  <c r="O29" i="14"/>
  <c r="J29" i="14"/>
  <c r="L37" i="14"/>
  <c r="M37" i="14"/>
  <c r="N37" i="14"/>
  <c r="O37" i="14"/>
  <c r="K39" i="14"/>
  <c r="E39" i="14"/>
  <c r="L39" i="14"/>
  <c r="M39" i="14"/>
  <c r="N39" i="14"/>
  <c r="O39" i="14"/>
  <c r="E38" i="14"/>
  <c r="L38" i="14"/>
  <c r="M38" i="14"/>
  <c r="N38" i="14"/>
  <c r="O38" i="14"/>
  <c r="J38" i="14"/>
  <c r="L55" i="14"/>
  <c r="M55" i="14"/>
  <c r="N55" i="14"/>
  <c r="O55" i="14"/>
  <c r="P156" i="13"/>
  <c r="K56" i="14"/>
  <c r="L56" i="14"/>
  <c r="M56" i="14"/>
  <c r="N56" i="14"/>
  <c r="O56" i="14"/>
  <c r="R123" i="13"/>
  <c r="R156" i="13"/>
  <c r="R19" i="13"/>
  <c r="S156" i="13"/>
  <c r="T156" i="13"/>
  <c r="U156" i="13"/>
  <c r="Q177" i="13"/>
  <c r="Q166" i="13"/>
  <c r="K55" i="14"/>
  <c r="Q157" i="13"/>
  <c r="Q20" i="13"/>
  <c r="Q156" i="13"/>
  <c r="Q19" i="13"/>
  <c r="P189" i="13"/>
  <c r="P185" i="13"/>
  <c r="P192" i="13"/>
  <c r="P182" i="13"/>
  <c r="P170" i="13"/>
  <c r="P171" i="13"/>
  <c r="J56" i="14"/>
  <c r="P190" i="13"/>
  <c r="P126" i="13"/>
  <c r="P121" i="13"/>
  <c r="P80" i="13"/>
  <c r="J37" i="14"/>
  <c r="J35" i="14"/>
  <c r="P65" i="13"/>
  <c r="J39" i="14"/>
  <c r="P27" i="13"/>
  <c r="J28" i="14"/>
  <c r="P123" i="13"/>
  <c r="P19" i="13"/>
  <c r="P62" i="13"/>
  <c r="P22" i="13"/>
  <c r="P176" i="13"/>
  <c r="P174" i="13"/>
  <c r="P157" i="13"/>
  <c r="P133" i="13"/>
  <c r="P159" i="13"/>
  <c r="K64" i="14"/>
  <c r="E64" i="14"/>
  <c r="L64" i="14"/>
  <c r="M64" i="14"/>
  <c r="N64" i="14"/>
  <c r="O64" i="14"/>
  <c r="K65" i="14"/>
  <c r="L65" i="14"/>
  <c r="M65" i="14"/>
  <c r="N65" i="14"/>
  <c r="O65" i="14"/>
  <c r="L46" i="14"/>
  <c r="M46" i="14"/>
  <c r="M44" i="14"/>
  <c r="M43" i="14"/>
  <c r="N46" i="14"/>
  <c r="N44" i="14"/>
  <c r="N43" i="14"/>
  <c r="O46" i="14"/>
  <c r="O44" i="14"/>
  <c r="O43" i="14"/>
  <c r="J46" i="14"/>
  <c r="J64" i="14"/>
  <c r="J65" i="14"/>
  <c r="I64" i="14"/>
  <c r="I57" i="14"/>
  <c r="I46" i="14"/>
  <c r="I39" i="14"/>
  <c r="I38" i="14"/>
  <c r="I37" i="14"/>
  <c r="I30" i="14"/>
  <c r="I29" i="14"/>
  <c r="I28" i="14"/>
  <c r="E18" i="14"/>
  <c r="E27" i="14"/>
  <c r="E31" i="14"/>
  <c r="E32" i="14"/>
  <c r="E33" i="14"/>
  <c r="E36" i="14"/>
  <c r="E40" i="14"/>
  <c r="E41" i="14"/>
  <c r="E42" i="14"/>
  <c r="E45" i="14"/>
  <c r="E48" i="14"/>
  <c r="E50" i="14"/>
  <c r="E51" i="14"/>
  <c r="E54" i="14"/>
  <c r="E58" i="14"/>
  <c r="E59" i="14"/>
  <c r="E60" i="14"/>
  <c r="E63" i="14"/>
  <c r="E66" i="14"/>
  <c r="E67" i="14"/>
  <c r="E68" i="14"/>
  <c r="E69" i="14"/>
  <c r="Q179" i="13"/>
  <c r="R179" i="13"/>
  <c r="S179" i="13"/>
  <c r="T179" i="13"/>
  <c r="U179" i="13"/>
  <c r="S180" i="13"/>
  <c r="S178" i="13"/>
  <c r="T180" i="13"/>
  <c r="T178" i="13"/>
  <c r="U180" i="13"/>
  <c r="U178" i="13"/>
  <c r="S155" i="13"/>
  <c r="T155" i="13"/>
  <c r="U155" i="13"/>
  <c r="R157" i="13"/>
  <c r="S157" i="13"/>
  <c r="T157" i="13"/>
  <c r="T20" i="13"/>
  <c r="U157" i="13"/>
  <c r="Q121" i="13"/>
  <c r="R121" i="13"/>
  <c r="S121" i="13"/>
  <c r="T121" i="13"/>
  <c r="U121" i="13"/>
  <c r="Q122" i="13"/>
  <c r="R122" i="13"/>
  <c r="S122" i="13"/>
  <c r="T122" i="13"/>
  <c r="U122" i="13"/>
  <c r="S123" i="13"/>
  <c r="S19" i="13"/>
  <c r="T123" i="13"/>
  <c r="U123" i="13"/>
  <c r="U19" i="13"/>
  <c r="R62" i="13"/>
  <c r="S62" i="13"/>
  <c r="T62" i="13"/>
  <c r="U62" i="13"/>
  <c r="U63" i="13"/>
  <c r="U61" i="13"/>
  <c r="T63" i="13"/>
  <c r="T61" i="13"/>
  <c r="S22" i="13"/>
  <c r="T22" i="13"/>
  <c r="U22" i="13"/>
  <c r="S23" i="13"/>
  <c r="S21" i="13"/>
  <c r="T23" i="13"/>
  <c r="T21" i="13"/>
  <c r="U23" i="13"/>
  <c r="O121" i="13"/>
  <c r="O122" i="13"/>
  <c r="O62" i="13"/>
  <c r="O63" i="13"/>
  <c r="O61" i="13"/>
  <c r="O22" i="13"/>
  <c r="O29" i="12"/>
  <c r="P29" i="12"/>
  <c r="P27" i="12"/>
  <c r="P25" i="12"/>
  <c r="M121" i="13"/>
  <c r="F65" i="14"/>
  <c r="H57" i="14"/>
  <c r="G57" i="14"/>
  <c r="L49" i="14"/>
  <c r="L22" i="14"/>
  <c r="K49" i="14"/>
  <c r="K22" i="14"/>
  <c r="J49" i="14"/>
  <c r="J22" i="14"/>
  <c r="I49" i="14"/>
  <c r="I22" i="14"/>
  <c r="H49" i="14"/>
  <c r="H22" i="14"/>
  <c r="G47" i="14"/>
  <c r="F47" i="14"/>
  <c r="F46" i="14"/>
  <c r="G39" i="14"/>
  <c r="F39" i="14"/>
  <c r="H38" i="14"/>
  <c r="G38" i="14"/>
  <c r="F37" i="14"/>
  <c r="H30" i="14"/>
  <c r="G30" i="14"/>
  <c r="F30" i="14"/>
  <c r="H29" i="14"/>
  <c r="G29" i="14"/>
  <c r="F29" i="14"/>
  <c r="G28" i="14"/>
  <c r="F28" i="14"/>
  <c r="L24" i="14"/>
  <c r="K24" i="14"/>
  <c r="J24" i="14"/>
  <c r="I24" i="14"/>
  <c r="H24" i="14"/>
  <c r="G24" i="14"/>
  <c r="F24" i="14"/>
  <c r="E24" i="14"/>
  <c r="L23" i="14"/>
  <c r="K23" i="14"/>
  <c r="J23" i="14"/>
  <c r="I23" i="14"/>
  <c r="H23" i="14"/>
  <c r="G23" i="14"/>
  <c r="F23" i="14"/>
  <c r="G22" i="14"/>
  <c r="F22" i="14"/>
  <c r="N192" i="13"/>
  <c r="M192" i="13"/>
  <c r="R191" i="13"/>
  <c r="O191" i="13"/>
  <c r="N191" i="13"/>
  <c r="L191" i="13"/>
  <c r="N190" i="13"/>
  <c r="I65" i="14"/>
  <c r="N189" i="13"/>
  <c r="H65" i="14"/>
  <c r="M189" i="13"/>
  <c r="G65" i="14"/>
  <c r="R188" i="13"/>
  <c r="O188" i="13"/>
  <c r="N188" i="13"/>
  <c r="L188" i="13"/>
  <c r="R186" i="13"/>
  <c r="N185" i="13"/>
  <c r="M185" i="13"/>
  <c r="G64" i="14"/>
  <c r="O183" i="13"/>
  <c r="Q183" i="13"/>
  <c r="L183" i="13"/>
  <c r="F64" i="14"/>
  <c r="N182" i="13"/>
  <c r="N180" i="13"/>
  <c r="M182" i="13"/>
  <c r="N181" i="13"/>
  <c r="O181" i="13"/>
  <c r="P181" i="13"/>
  <c r="R181" i="13"/>
  <c r="Q181" i="13"/>
  <c r="L181" i="13"/>
  <c r="P179" i="13"/>
  <c r="O179" i="13"/>
  <c r="N179" i="13"/>
  <c r="M179" i="13"/>
  <c r="L179" i="13"/>
  <c r="N176" i="13"/>
  <c r="N157" i="13"/>
  <c r="N20" i="13"/>
  <c r="N174" i="13"/>
  <c r="O171" i="13"/>
  <c r="I56" i="14"/>
  <c r="N171" i="13"/>
  <c r="H56" i="14"/>
  <c r="M171" i="13"/>
  <c r="G56" i="14"/>
  <c r="N170" i="13"/>
  <c r="M169" i="13"/>
  <c r="M155" i="13"/>
  <c r="O168" i="13"/>
  <c r="Q168" i="13"/>
  <c r="L168" i="13"/>
  <c r="Q167" i="13"/>
  <c r="P167" i="13"/>
  <c r="R167" i="13"/>
  <c r="L167" i="13"/>
  <c r="L155" i="13"/>
  <c r="Q165" i="13"/>
  <c r="P165" i="13"/>
  <c r="L165" i="13"/>
  <c r="F56" i="14"/>
  <c r="O164" i="13"/>
  <c r="P164" i="13"/>
  <c r="R164" i="13"/>
  <c r="L164" i="13"/>
  <c r="O163" i="13"/>
  <c r="P163" i="13"/>
  <c r="R163" i="13"/>
  <c r="M162" i="13"/>
  <c r="O161" i="13"/>
  <c r="Q161" i="13"/>
  <c r="L161" i="13"/>
  <c r="F55" i="14"/>
  <c r="O159" i="13"/>
  <c r="I55" i="14"/>
  <c r="N159" i="13"/>
  <c r="H55" i="14"/>
  <c r="M159" i="13"/>
  <c r="M157" i="13"/>
  <c r="L158" i="13"/>
  <c r="Q152" i="13"/>
  <c r="P152" i="13"/>
  <c r="O152" i="13"/>
  <c r="R152" i="13"/>
  <c r="Q149" i="13"/>
  <c r="P149" i="13"/>
  <c r="O149" i="13"/>
  <c r="R149" i="13"/>
  <c r="Q146" i="13"/>
  <c r="P146" i="13"/>
  <c r="O146" i="13"/>
  <c r="R146" i="13"/>
  <c r="Q145" i="13"/>
  <c r="P145" i="13"/>
  <c r="O145" i="13"/>
  <c r="R145" i="13"/>
  <c r="M143" i="13"/>
  <c r="G46" i="14"/>
  <c r="Q140" i="13"/>
  <c r="P140" i="13"/>
  <c r="O140" i="13"/>
  <c r="R140" i="13"/>
  <c r="N139" i="13"/>
  <c r="P139" i="13"/>
  <c r="R137" i="13"/>
  <c r="O137" i="13"/>
  <c r="P137" i="13"/>
  <c r="N137" i="13"/>
  <c r="N121" i="13"/>
  <c r="Q136" i="13"/>
  <c r="P136" i="13"/>
  <c r="O136" i="13"/>
  <c r="R136" i="13"/>
  <c r="N133" i="13"/>
  <c r="N123" i="13"/>
  <c r="N19" i="13"/>
  <c r="Q131" i="13"/>
  <c r="P131" i="13"/>
  <c r="R131" i="13"/>
  <c r="N126" i="13"/>
  <c r="O124" i="13"/>
  <c r="P124" i="13"/>
  <c r="R124" i="13"/>
  <c r="O123" i="13"/>
  <c r="O120" i="13"/>
  <c r="L123" i="13"/>
  <c r="L19" i="13"/>
  <c r="P122" i="13"/>
  <c r="N122" i="13"/>
  <c r="M122" i="13"/>
  <c r="L122" i="13"/>
  <c r="L121" i="13"/>
  <c r="Q116" i="13"/>
  <c r="P116" i="13"/>
  <c r="O116" i="13"/>
  <c r="R116" i="13"/>
  <c r="R114" i="13"/>
  <c r="O114" i="13"/>
  <c r="N114" i="13"/>
  <c r="M107" i="13"/>
  <c r="G37" i="14"/>
  <c r="R102" i="13"/>
  <c r="O102" i="13"/>
  <c r="P102" i="13"/>
  <c r="N102" i="13"/>
  <c r="R96" i="13"/>
  <c r="O96" i="13"/>
  <c r="N96" i="13"/>
  <c r="R95" i="13"/>
  <c r="P95" i="13"/>
  <c r="R92" i="13"/>
  <c r="P92" i="13"/>
  <c r="O92" i="13"/>
  <c r="N92" i="13"/>
  <c r="O88" i="13"/>
  <c r="P88" i="13"/>
  <c r="Q87" i="13"/>
  <c r="P87" i="13"/>
  <c r="R87" i="13"/>
  <c r="Q82" i="13"/>
  <c r="P82" i="13"/>
  <c r="R82" i="13"/>
  <c r="O81" i="13"/>
  <c r="P81" i="13"/>
  <c r="R81" i="13"/>
  <c r="Q81" i="13"/>
  <c r="N80" i="13"/>
  <c r="R66" i="13"/>
  <c r="O66" i="13"/>
  <c r="P66" i="13"/>
  <c r="L66" i="13"/>
  <c r="N65" i="13"/>
  <c r="H39" i="14"/>
  <c r="O64" i="13"/>
  <c r="P64" i="13"/>
  <c r="R64" i="13"/>
  <c r="N62" i="13"/>
  <c r="M62" i="13"/>
  <c r="L62" i="13"/>
  <c r="O50" i="13"/>
  <c r="R45" i="13"/>
  <c r="P45" i="13"/>
  <c r="O45" i="13"/>
  <c r="R44" i="13"/>
  <c r="P44" i="13"/>
  <c r="O44" i="13"/>
  <c r="O40" i="13"/>
  <c r="Q40" i="13"/>
  <c r="O38" i="13"/>
  <c r="Q38" i="13"/>
  <c r="R36" i="13"/>
  <c r="O36" i="13"/>
  <c r="P36" i="13"/>
  <c r="N36" i="13"/>
  <c r="Q33" i="13"/>
  <c r="P33" i="13"/>
  <c r="R33" i="13"/>
  <c r="R32" i="13"/>
  <c r="P32" i="13"/>
  <c r="O32" i="13"/>
  <c r="N27" i="13"/>
  <c r="H28" i="14"/>
  <c r="O26" i="13"/>
  <c r="Q26" i="13"/>
  <c r="O24" i="13"/>
  <c r="Q24" i="13"/>
  <c r="M23" i="13"/>
  <c r="L23" i="13"/>
  <c r="L21" i="13"/>
  <c r="R22" i="13"/>
  <c r="N22" i="13"/>
  <c r="M22" i="13"/>
  <c r="L22" i="13"/>
  <c r="G42" i="12"/>
  <c r="G36" i="12"/>
  <c r="L35" i="12"/>
  <c r="K35" i="12"/>
  <c r="M35" i="12"/>
  <c r="J33" i="12"/>
  <c r="J31" i="12"/>
  <c r="J29" i="12"/>
  <c r="J27" i="12"/>
  <c r="J25" i="12"/>
  <c r="G23" i="12"/>
  <c r="G16" i="12"/>
  <c r="Q164" i="13"/>
  <c r="R165" i="13"/>
  <c r="P24" i="13"/>
  <c r="R24" i="13"/>
  <c r="P161" i="13"/>
  <c r="R161" i="13"/>
  <c r="H37" i="14"/>
  <c r="Q124" i="13"/>
  <c r="P183" i="13"/>
  <c r="R183" i="13"/>
  <c r="O155" i="13"/>
  <c r="N63" i="13"/>
  <c r="N61" i="13"/>
  <c r="M123" i="13"/>
  <c r="M19" i="13"/>
  <c r="M120" i="13"/>
  <c r="Q163" i="13"/>
  <c r="Q88" i="13"/>
  <c r="M21" i="13"/>
  <c r="F38" i="14"/>
  <c r="L63" i="13"/>
  <c r="L180" i="13"/>
  <c r="L178" i="13"/>
  <c r="L61" i="13"/>
  <c r="N155" i="13"/>
  <c r="M63" i="13"/>
  <c r="M61" i="13"/>
  <c r="P26" i="13"/>
  <c r="R26" i="13"/>
  <c r="G55" i="14"/>
  <c r="Q50" i="13"/>
  <c r="P50" i="13"/>
  <c r="R50" i="13"/>
  <c r="M180" i="13"/>
  <c r="M178" i="13"/>
  <c r="L120" i="13"/>
  <c r="E23" i="14"/>
  <c r="M20" i="13"/>
  <c r="M154" i="13"/>
  <c r="N178" i="13"/>
  <c r="R180" i="13"/>
  <c r="R178" i="13"/>
  <c r="Q180" i="13"/>
  <c r="Q178" i="13"/>
  <c r="H64" i="14"/>
  <c r="O180" i="13"/>
  <c r="O178" i="13"/>
  <c r="Q64" i="13"/>
  <c r="Q139" i="13"/>
  <c r="O139" i="13"/>
  <c r="R139" i="13"/>
  <c r="J57" i="14"/>
  <c r="U21" i="13"/>
  <c r="S154" i="13"/>
  <c r="J55" i="14"/>
  <c r="E55" i="14"/>
  <c r="N23" i="13"/>
  <c r="N21" i="13"/>
  <c r="K57" i="14"/>
  <c r="Q155" i="13"/>
  <c r="L20" i="13"/>
  <c r="P120" i="13"/>
  <c r="L157" i="13"/>
  <c r="L154" i="13"/>
  <c r="H46" i="14"/>
  <c r="N154" i="13"/>
  <c r="P168" i="13"/>
  <c r="R168" i="13"/>
  <c r="R155" i="13"/>
  <c r="R154" i="13"/>
  <c r="O157" i="13"/>
  <c r="O20" i="13"/>
  <c r="R20" i="13"/>
  <c r="P61" i="13"/>
  <c r="M18" i="13"/>
  <c r="M17" i="13"/>
  <c r="L18" i="13"/>
  <c r="L17" i="13"/>
  <c r="U20" i="13"/>
  <c r="T154" i="13"/>
  <c r="T18" i="13"/>
  <c r="T17" i="13"/>
  <c r="T120" i="13"/>
  <c r="T19" i="13"/>
  <c r="U18" i="13"/>
  <c r="U154" i="13"/>
  <c r="L57" i="14"/>
  <c r="L21" i="14"/>
  <c r="S20" i="13"/>
  <c r="P38" i="13"/>
  <c r="U120" i="13"/>
  <c r="S120" i="13"/>
  <c r="R120" i="13"/>
  <c r="F53" i="14"/>
  <c r="F52" i="14"/>
  <c r="G26" i="14"/>
  <c r="G25" i="14"/>
  <c r="I44" i="14"/>
  <c r="I43" i="14"/>
  <c r="P63" i="13"/>
  <c r="H62" i="14"/>
  <c r="H61" i="14"/>
  <c r="P180" i="13"/>
  <c r="P178" i="13"/>
  <c r="R88" i="13"/>
  <c r="R63" i="13"/>
  <c r="R61" i="13"/>
  <c r="L62" i="14"/>
  <c r="L61" i="14"/>
  <c r="H35" i="14"/>
  <c r="H34" i="14"/>
  <c r="O19" i="13"/>
  <c r="N120" i="13"/>
  <c r="H53" i="14"/>
  <c r="H52" i="14"/>
  <c r="L35" i="14"/>
  <c r="L34" i="14"/>
  <c r="L20" i="14"/>
  <c r="H21" i="14"/>
  <c r="G53" i="14"/>
  <c r="G52" i="14"/>
  <c r="F44" i="14"/>
  <c r="F43" i="14"/>
  <c r="S63" i="13"/>
  <c r="S18" i="13"/>
  <c r="I21" i="14"/>
  <c r="J21" i="14"/>
  <c r="J34" i="14"/>
  <c r="O53" i="14"/>
  <c r="O52" i="14"/>
  <c r="E37" i="14"/>
  <c r="G44" i="14"/>
  <c r="G43" i="14"/>
  <c r="O35" i="14"/>
  <c r="O34" i="14"/>
  <c r="F21" i="14"/>
  <c r="J62" i="14"/>
  <c r="J61" i="14"/>
  <c r="P40" i="13"/>
  <c r="R40" i="13"/>
  <c r="I19" i="14"/>
  <c r="G21" i="14"/>
  <c r="H20" i="14"/>
  <c r="E47" i="14"/>
  <c r="M21" i="14"/>
  <c r="N20" i="14"/>
  <c r="M62" i="14"/>
  <c r="M61" i="14"/>
  <c r="G19" i="14"/>
  <c r="G62" i="14"/>
  <c r="G61" i="14"/>
  <c r="F26" i="14"/>
  <c r="F25" i="14"/>
  <c r="M26" i="14"/>
  <c r="M25" i="14"/>
  <c r="M19" i="14"/>
  <c r="I53" i="14"/>
  <c r="I52" i="14"/>
  <c r="H19" i="14"/>
  <c r="O21" i="14"/>
  <c r="L26" i="14"/>
  <c r="L25" i="14"/>
  <c r="M35" i="14"/>
  <c r="M34" i="14"/>
  <c r="L44" i="14"/>
  <c r="L43" i="14"/>
  <c r="N53" i="14"/>
  <c r="N52" i="14"/>
  <c r="N62" i="14"/>
  <c r="N61" i="14"/>
  <c r="G20" i="14"/>
  <c r="E65" i="14"/>
  <c r="F62" i="14"/>
  <c r="F61" i="14"/>
  <c r="N19" i="14"/>
  <c r="K62" i="14"/>
  <c r="E62" i="14"/>
  <c r="I26" i="14"/>
  <c r="I25" i="14"/>
  <c r="I35" i="14"/>
  <c r="I34" i="14"/>
  <c r="N21" i="14"/>
  <c r="O26" i="14"/>
  <c r="O25" i="14"/>
  <c r="K44" i="14"/>
  <c r="E44" i="14"/>
  <c r="M53" i="14"/>
  <c r="M52" i="14"/>
  <c r="E22" i="14"/>
  <c r="J44" i="14"/>
  <c r="J43" i="14"/>
  <c r="O20" i="14"/>
  <c r="I62" i="14"/>
  <c r="I61" i="14"/>
  <c r="J20" i="14"/>
  <c r="N35" i="14"/>
  <c r="N34" i="14"/>
  <c r="O62" i="14"/>
  <c r="O61" i="14"/>
  <c r="N26" i="14"/>
  <c r="N25" i="14"/>
  <c r="L19" i="14"/>
  <c r="E49" i="14"/>
  <c r="E46" i="14"/>
  <c r="H44" i="14"/>
  <c r="H43" i="14"/>
  <c r="I20" i="14"/>
  <c r="F20" i="14"/>
  <c r="G35" i="14"/>
  <c r="G34" i="14"/>
  <c r="F19" i="14"/>
  <c r="H26" i="14"/>
  <c r="H25" i="14"/>
  <c r="F35" i="14"/>
  <c r="F34" i="14"/>
  <c r="O19" i="14"/>
  <c r="M20" i="14"/>
  <c r="E56" i="14"/>
  <c r="J19" i="14"/>
  <c r="E30" i="14"/>
  <c r="O23" i="13"/>
  <c r="R38" i="13"/>
  <c r="J26" i="14"/>
  <c r="J25" i="14"/>
  <c r="K53" i="14"/>
  <c r="E53" i="14"/>
  <c r="P155" i="13"/>
  <c r="P154" i="13"/>
  <c r="J53" i="14"/>
  <c r="J52" i="14"/>
  <c r="N18" i="13"/>
  <c r="N17" i="13"/>
  <c r="S17" i="13"/>
  <c r="O154" i="13"/>
  <c r="U17" i="13"/>
  <c r="E57" i="14"/>
  <c r="L53" i="14"/>
  <c r="L52" i="14"/>
  <c r="P23" i="13"/>
  <c r="L17" i="14"/>
  <c r="L16" i="14"/>
  <c r="O17" i="14"/>
  <c r="O16" i="14"/>
  <c r="R23" i="13"/>
  <c r="R21" i="13"/>
  <c r="S61" i="13"/>
  <c r="P20" i="13"/>
  <c r="F17" i="14"/>
  <c r="F16" i="14"/>
  <c r="N17" i="14"/>
  <c r="N16" i="14"/>
  <c r="M17" i="14"/>
  <c r="M16" i="14"/>
  <c r="I17" i="14"/>
  <c r="I16" i="14"/>
  <c r="H17" i="14"/>
  <c r="H16" i="14"/>
  <c r="G17" i="14"/>
  <c r="G16" i="14"/>
  <c r="R18" i="13"/>
  <c r="R17" i="13"/>
  <c r="J17" i="14"/>
  <c r="O21" i="13"/>
  <c r="O18" i="13"/>
  <c r="O17" i="13"/>
  <c r="P18" i="13"/>
  <c r="P17" i="13"/>
  <c r="P21" i="13"/>
  <c r="J16" i="14"/>
  <c r="K61" i="14"/>
  <c r="E61" i="14"/>
  <c r="K52" i="14"/>
  <c r="E52" i="14"/>
  <c r="K19" i="14"/>
  <c r="Q18" i="13"/>
  <c r="Q17" i="13"/>
  <c r="K43" i="14"/>
  <c r="E43" i="14"/>
  <c r="K34" i="14"/>
  <c r="E34" i="14"/>
  <c r="E35" i="14"/>
  <c r="K26" i="14"/>
  <c r="E26" i="14"/>
  <c r="E29" i="14"/>
  <c r="K17" i="14"/>
  <c r="E17" i="14"/>
  <c r="K25" i="14"/>
  <c r="E25" i="14"/>
  <c r="E19" i="14"/>
  <c r="K16" i="14"/>
  <c r="E16" i="14"/>
</calcChain>
</file>

<file path=xl/sharedStrings.xml><?xml version="1.0" encoding="utf-8"?>
<sst xmlns="http://schemas.openxmlformats.org/spreadsheetml/2006/main" count="1363" uniqueCount="318">
  <si>
    <t>Приложение 6</t>
  </si>
  <si>
    <t>Приложение 5</t>
  </si>
  <si>
    <t>29</t>
  </si>
  <si>
    <t>Укрепление материально-технической базы муниципальных дошкольных образовательных организаций</t>
  </si>
  <si>
    <t>Организация бухгалтерского учета в муниципальных образовательных учреждениях, подведомственных Управлению образования, организация работ по материально-техническому, методическому сопровождению деятельности образовательных организаций</t>
  </si>
  <si>
    <t>611</t>
  </si>
  <si>
    <t>321</t>
  </si>
  <si>
    <t>612</t>
  </si>
  <si>
    <t>313</t>
  </si>
  <si>
    <t>611, 851</t>
  </si>
  <si>
    <t>244</t>
  </si>
  <si>
    <t>321, 612</t>
  </si>
  <si>
    <t>111, 112</t>
  </si>
  <si>
    <t>851</t>
  </si>
  <si>
    <t>121</t>
  </si>
  <si>
    <t xml:space="preserve"> Организация и осуществление мероприятий по работе с детьми и молодежью</t>
  </si>
  <si>
    <t>365</t>
  </si>
  <si>
    <t>Управление образования Администрации МО "Игринский район"</t>
  </si>
  <si>
    <t>Администрация района</t>
  </si>
  <si>
    <t>Реализация установленных полномочий (функций) Управлением образования Администрации муниципального образования «Игринский район», организация управления муниципальной программой «Развитие системы образования муниципального образования «Игринский район».</t>
  </si>
  <si>
    <t>Администрация муниципального образования "Игринский район"</t>
  </si>
  <si>
    <t>Мероприятия, направленные на предоставление компенсации расходов на оплату жилых помещений, отопления и освещения педагогическим работникам общеобразовательных организаций.</t>
  </si>
  <si>
    <t>Показатель применения меры</t>
  </si>
  <si>
    <t>Охрана здоровья и формирование здорового образа жизни населения</t>
  </si>
  <si>
    <t>ГРБС</t>
  </si>
  <si>
    <t>338</t>
  </si>
  <si>
    <t>356</t>
  </si>
  <si>
    <t>Создание условий для развития физической культуры и спорта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</si>
  <si>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</si>
  <si>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</si>
  <si>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</si>
  <si>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Рз</t>
  </si>
  <si>
    <t>Пр</t>
  </si>
  <si>
    <t>ЦС</t>
  </si>
  <si>
    <t>ВР</t>
  </si>
  <si>
    <t>Справочно: среднегодовой индекс инфляции (потребительских цен)</t>
  </si>
  <si>
    <t>Всего</t>
  </si>
  <si>
    <t>Управление образования администрации муниципального образования "Игринский район"</t>
  </si>
  <si>
    <t>Управление культуры администрации муниципального образования "Игринский район"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</si>
  <si>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</si>
  <si>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</si>
  <si>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</si>
  <si>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</si>
  <si>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</si>
  <si>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</si>
  <si>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МО "Игринский район"</t>
  </si>
  <si>
    <t>в том числе:</t>
  </si>
  <si>
    <t xml:space="preserve">собственные средства </t>
  </si>
  <si>
    <t>субсидии из бюджета Удмуртской Республики</t>
  </si>
  <si>
    <t>субвенции из бюджета Удмуртской Республики</t>
  </si>
  <si>
    <t>иные межбюджетные трансферты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</si>
  <si>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</si>
  <si>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</si>
  <si>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бюджет муниципального образования "Игринский район"</t>
  </si>
  <si>
    <t>собственные средства</t>
  </si>
  <si>
    <t>Уплата налога на имущество организаций</t>
  </si>
  <si>
    <t>Мероприятия, направленные на предоставление компенсации расходов на оплату жилых помещений, отопления и освещения педагогическим работникам дошкольных образовательных организаций.</t>
  </si>
  <si>
    <t>Предоставление общедоступного и бесплатного дошкольного образования по основной общеобразовательной программе дошкольного образования в муниципальных дошкольных образовательных организациях</t>
  </si>
  <si>
    <t>к муниципальной программе</t>
  </si>
  <si>
    <t>Код аналитической программной классификации</t>
  </si>
  <si>
    <t>2015 год</t>
  </si>
  <si>
    <t>2016 год</t>
  </si>
  <si>
    <t>2017 год</t>
  </si>
  <si>
    <t>2018 год</t>
  </si>
  <si>
    <t>2019 год</t>
  </si>
  <si>
    <t>2020 год</t>
  </si>
  <si>
    <t>МП</t>
  </si>
  <si>
    <t>Пп</t>
  </si>
  <si>
    <t>01</t>
  </si>
  <si>
    <t>1</t>
  </si>
  <si>
    <t>2</t>
  </si>
  <si>
    <t>3</t>
  </si>
  <si>
    <t>5</t>
  </si>
  <si>
    <t>Отвественный исполнитель, соисполнители</t>
  </si>
  <si>
    <t>ОМ</t>
  </si>
  <si>
    <t>М</t>
  </si>
  <si>
    <t>02</t>
  </si>
  <si>
    <t>Расходы по координации работы по воспроизводству профессиональных кадров в системе образования</t>
  </si>
  <si>
    <t>03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</si>
  <si>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</si>
  <si>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</t>
  </si>
  <si>
    <t>Предоставление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</si>
  <si>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05</t>
  </si>
  <si>
    <t>06</t>
  </si>
  <si>
    <t>07</t>
  </si>
  <si>
    <t>09</t>
  </si>
  <si>
    <t>10</t>
  </si>
  <si>
    <t>4</t>
  </si>
  <si>
    <t>14</t>
  </si>
  <si>
    <t>Укрепление материально-технической базы муниципальных общеобразовательных организаций</t>
  </si>
  <si>
    <t>7</t>
  </si>
  <si>
    <t>22</t>
  </si>
  <si>
    <t>Организация предоставления дополнительного  образования детей в муниципальных образовательных организациях.</t>
  </si>
  <si>
    <t>Уплата налога на имущество</t>
  </si>
  <si>
    <t>0130062</t>
  </si>
  <si>
    <t>0136021</t>
  </si>
  <si>
    <t>0136130</t>
  </si>
  <si>
    <t>0110062</t>
  </si>
  <si>
    <t>0110547</t>
  </si>
  <si>
    <t>0116020</t>
  </si>
  <si>
    <t>0116021</t>
  </si>
  <si>
    <t>0116110</t>
  </si>
  <si>
    <t>0110448</t>
  </si>
  <si>
    <t>0110424</t>
  </si>
  <si>
    <t>0120062</t>
  </si>
  <si>
    <t xml:space="preserve">Обеспечение учащихся общеобразовательных учреждений качественным сбалансированным питанием </t>
  </si>
  <si>
    <t>0120431</t>
  </si>
  <si>
    <t>0120433</t>
  </si>
  <si>
    <t>0126020</t>
  </si>
  <si>
    <t>0126021</t>
  </si>
  <si>
    <t>0126120</t>
  </si>
  <si>
    <t>0126121</t>
  </si>
  <si>
    <t>0126122</t>
  </si>
  <si>
    <t>0136020</t>
  </si>
  <si>
    <t>0156016</t>
  </si>
  <si>
    <t>0146143</t>
  </si>
  <si>
    <t>0150062</t>
  </si>
  <si>
    <t>0156003</t>
  </si>
  <si>
    <t>0156012</t>
  </si>
  <si>
    <t>0156101</t>
  </si>
  <si>
    <t>0146142</t>
  </si>
  <si>
    <t>0140062</t>
  </si>
  <si>
    <t>0146141</t>
  </si>
  <si>
    <t>Укрепление материально-технической базы муниципальных образовательных организаций дополнительного образования детей</t>
  </si>
  <si>
    <t xml:space="preserve">Ресурсное обеспечение реализации муниципальной программы за счет средств бюджета муниципального района </t>
  </si>
  <si>
    <t xml:space="preserve">Организация повышения квалификации и профессиональной переподготовки педагогических работников, руководителей (резерва руководителей) муниципальных образовательных организаций Игринского района, специалистов Управления образования. </t>
  </si>
  <si>
    <t>Организация и проведение муниципального этапа Всероссийской олимпиады школьников и межрегиональной олимпиады по удмуртскому языку и литературе</t>
  </si>
  <si>
    <t>0116015</t>
  </si>
  <si>
    <t>0120497</t>
  </si>
  <si>
    <t>0125097</t>
  </si>
  <si>
    <t>0140523</t>
  </si>
  <si>
    <t>0126017</t>
  </si>
  <si>
    <t>0116290</t>
  </si>
  <si>
    <t>0126290</t>
  </si>
  <si>
    <t>0136151</t>
  </si>
  <si>
    <t>Обустройство прилегающих территорий к зданиям и сооружениям муниципальных учреждений дополнительного образования детей, содержание зданий, сооружений.</t>
  </si>
  <si>
    <t>0136290</t>
  </si>
  <si>
    <t>0120496</t>
  </si>
  <si>
    <t>111, 112, 242, 244, 852, 851</t>
  </si>
  <si>
    <t>0120517</t>
  </si>
  <si>
    <t>242, 244, 852, 851</t>
  </si>
  <si>
    <t>0135014</t>
  </si>
  <si>
    <t>0110712</t>
  </si>
  <si>
    <t>112, 244, 321</t>
  </si>
  <si>
    <t>0120082</t>
  </si>
  <si>
    <t>0150660160</t>
  </si>
  <si>
    <t>0150160030</t>
  </si>
  <si>
    <t>0150260120</t>
  </si>
  <si>
    <t>111 112 119 242 244 851 852</t>
  </si>
  <si>
    <t>0151461010</t>
  </si>
  <si>
    <t>Организация отдыха и занятости подростков и молодежи в каникулярный период</t>
  </si>
  <si>
    <t>0140261430</t>
  </si>
  <si>
    <t>321 612</t>
  </si>
  <si>
    <t>0130160250</t>
  </si>
  <si>
    <t>0130560200</t>
  </si>
  <si>
    <t>0130960210</t>
  </si>
  <si>
    <t>0110205470</t>
  </si>
  <si>
    <t>0110260250</t>
  </si>
  <si>
    <t>0110660200</t>
  </si>
  <si>
    <t>0111060210</t>
  </si>
  <si>
    <t>0110404240</t>
  </si>
  <si>
    <t>0110504480</t>
  </si>
  <si>
    <t>0120104310</t>
  </si>
  <si>
    <t>Оказание муниципальных услуг по предоставлению общедоступного и бесплатного дошкольного, начального, среднего, полного общего образования</t>
  </si>
  <si>
    <t>0120160250</t>
  </si>
  <si>
    <t>0120204330</t>
  </si>
  <si>
    <t>0121460210</t>
  </si>
  <si>
    <t>0120561210</t>
  </si>
  <si>
    <t>0121061220</t>
  </si>
  <si>
    <t>0140161410</t>
  </si>
  <si>
    <t>0140161420</t>
  </si>
  <si>
    <t>111, 112, 242, 244, 313,  852, 851</t>
  </si>
  <si>
    <t>08</t>
  </si>
  <si>
    <t>Капитальный ремонт и реконструкция муниципальных учреждений общего образования МО "Игринский район"</t>
  </si>
  <si>
    <t>0120506960</t>
  </si>
  <si>
    <t>0120160200</t>
  </si>
  <si>
    <t>0150601820</t>
  </si>
  <si>
    <t>0110262900</t>
  </si>
  <si>
    <t>0120162900</t>
  </si>
  <si>
    <t xml:space="preserve">Мероприятия, направленные на обеспечение безопасности условий обучения детей в муниципальных общеобразовательных организациях </t>
  </si>
  <si>
    <t>0120604960</t>
  </si>
  <si>
    <t>0130162900</t>
  </si>
  <si>
    <t>0130160190</t>
  </si>
  <si>
    <t>0140105230</t>
  </si>
  <si>
    <t>0140205230</t>
  </si>
  <si>
    <t>612 244</t>
  </si>
  <si>
    <t>Администрация муниципального образования "Игринский район</t>
  </si>
  <si>
    <t>0120860150</t>
  </si>
  <si>
    <t>243</t>
  </si>
  <si>
    <t>0110260200</t>
  </si>
  <si>
    <t>0110960150</t>
  </si>
  <si>
    <t>Обустройство и содержание зданий, сооружений и прилегающих территорий к зданиям и сооружениям муниципальным дошкольным образовательным организациям.</t>
  </si>
  <si>
    <t>244 612</t>
  </si>
  <si>
    <t>0120105940</t>
  </si>
  <si>
    <t>0110507120</t>
  </si>
  <si>
    <t>01208R5200</t>
  </si>
  <si>
    <t>111 112 119 242 244 851 852 853</t>
  </si>
  <si>
    <t>112 244 321 612</t>
  </si>
  <si>
    <t>0120160150</t>
  </si>
  <si>
    <t>313 321</t>
  </si>
  <si>
    <t>111 112 119 242 244 313 321 851 852 853</t>
  </si>
  <si>
    <t>0130107850</t>
  </si>
  <si>
    <t>321 612 244</t>
  </si>
  <si>
    <t>244, 360, 320</t>
  </si>
  <si>
    <t>Финансирование оплаты труда работникам муниципального казенного учреждения "Игринский молодежный центр "Лига"</t>
  </si>
  <si>
    <t>0140361420</t>
  </si>
  <si>
    <t>Финансирование деятельности  муниципального казенного учреждения "Игринский молодежный центр "Лига"</t>
  </si>
  <si>
    <t>0140461420</t>
  </si>
  <si>
    <t>0120800820</t>
  </si>
  <si>
    <t>0120800830</t>
  </si>
  <si>
    <t>0110260190</t>
  </si>
  <si>
    <t>0120160190</t>
  </si>
  <si>
    <t>01201R0970</t>
  </si>
  <si>
    <t>0120360200</t>
  </si>
  <si>
    <t>01208S0820</t>
  </si>
  <si>
    <t>01208S0830</t>
  </si>
  <si>
    <t>111 112 119</t>
  </si>
  <si>
    <t>01402S5230</t>
  </si>
  <si>
    <t>611 612</t>
  </si>
  <si>
    <t>01105S7120</t>
  </si>
  <si>
    <t>611 244 612</t>
  </si>
  <si>
    <t>01201L0970</t>
  </si>
  <si>
    <t>01205S6960</t>
  </si>
  <si>
    <t>242 244 851 853</t>
  </si>
  <si>
    <t>244 321 612</t>
  </si>
  <si>
    <t>244 414</t>
  </si>
  <si>
    <t>Наименование меры                                        государственного регулирования</t>
  </si>
  <si>
    <t xml:space="preserve">Прогноз сводных показателей муниципальных заданий на оказание муниципальных услуг (выполнение работ) 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</si>
  <si>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</si>
  <si>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</si>
  <si>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</si>
  <si>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Предоставление дошкольного образования и воспитания в образовательных учреждениях Игринского района Удмуртской Республики</t>
  </si>
  <si>
    <t>Количество оказанных услуг</t>
  </si>
  <si>
    <t>чел.</t>
  </si>
  <si>
    <t>Объем финансового обеспечения муниципального задания</t>
  </si>
  <si>
    <t>тыс. руб.</t>
  </si>
  <si>
    <t>Реализация основных общеобразовательных программ дошкольного образования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</si>
  <si>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образовательных учреждениях Игринского района Удмуртской Республики.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</si>
  <si>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</si>
  <si>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</si>
  <si>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</si>
  <si>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Предоставление дополнительного образования в образовательных учреждениях</t>
  </si>
  <si>
    <t>Реализация дополнительных общеразвивающих программ</t>
  </si>
  <si>
    <t>Предоставление дополнительного образования детей в муниципальных  учреждениях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</si>
  <si>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</si>
  <si>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</si>
  <si>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(живопись)</t>
  </si>
  <si>
    <t>Реализация дополнительных общеобразовательных предпрофессиональных программ в области искусств (музыкальный фольклор)</t>
  </si>
  <si>
    <t>Реализация дополнительных общеобразовательных предпрофессиональных программ в области искусств (хореографическое творчество)</t>
  </si>
  <si>
    <t>Реализация дополнительных общеразвивающих программ (общеобразовательные программы художественно-эстетической направленности)</t>
  </si>
  <si>
    <t>человекочасы</t>
  </si>
  <si>
    <t>Присмотр и уход</t>
  </si>
  <si>
    <t>244 243</t>
  </si>
  <si>
    <t>15</t>
  </si>
  <si>
    <t>0131563600</t>
  </si>
  <si>
    <t>632</t>
  </si>
  <si>
    <t>Обеспечение персонифицированного финансирования дополнительного образования детей</t>
  </si>
  <si>
    <t>Реализация молодежной политики</t>
  </si>
  <si>
    <t>12</t>
  </si>
  <si>
    <t>Создание, реорганизация, ликвидация дошкольных образовательных организаций  на территории Игринского района.</t>
  </si>
  <si>
    <t>2021 год</t>
  </si>
  <si>
    <t>0150262900</t>
  </si>
  <si>
    <t>Приложение 4</t>
  </si>
  <si>
    <t>0120262900</t>
  </si>
  <si>
    <t>42</t>
  </si>
  <si>
    <t>Капитальный ремонт и реконструкция дошкольных образовательных организаций МО "Игринский район"</t>
  </si>
  <si>
    <t>Развитие дошкольного образования</t>
  </si>
  <si>
    <t>Развитие общего образования</t>
  </si>
  <si>
    <t>Дополнительное образование и воспитание</t>
  </si>
  <si>
    <t xml:space="preserve">Развитие общего образования </t>
  </si>
  <si>
    <t>Управление системой образования</t>
  </si>
  <si>
    <t xml:space="preserve">Дополнительное образование и воспитание </t>
  </si>
  <si>
    <t xml:space="preserve">Развитие системы образования </t>
  </si>
  <si>
    <t>Развитие системы образования</t>
  </si>
  <si>
    <t>"Развитие системы образования"</t>
  </si>
  <si>
    <t>2022 год</t>
  </si>
  <si>
    <t>2023 год</t>
  </si>
  <si>
    <t>2024 год</t>
  </si>
  <si>
    <t>Р2</t>
  </si>
  <si>
    <t>Е2</t>
  </si>
  <si>
    <t>Региональный проект "Успех каждого ребенка"</t>
  </si>
  <si>
    <t>1 этап</t>
  </si>
  <si>
    <t>2 этап</t>
  </si>
  <si>
    <t>человеко-часов</t>
  </si>
  <si>
    <t>01102L0270</t>
  </si>
  <si>
    <t>0110360250</t>
  </si>
  <si>
    <t>01112S1590</t>
  </si>
  <si>
    <t>01112L1590</t>
  </si>
  <si>
    <t>412
540</t>
  </si>
  <si>
    <t>0114200830</t>
  </si>
  <si>
    <t>01142S0830</t>
  </si>
  <si>
    <t>0120260250</t>
  </si>
  <si>
    <t>0130260250</t>
  </si>
  <si>
    <t>0150360120</t>
  </si>
  <si>
    <t>011Р221590</t>
  </si>
  <si>
    <t>414</t>
  </si>
  <si>
    <t>412
414</t>
  </si>
  <si>
    <t>612
243</t>
  </si>
  <si>
    <t>0120109090</t>
  </si>
  <si>
    <t>012Е250970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</si>
  <si>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</si>
  <si>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0111262000</t>
  </si>
  <si>
    <t>011Р22159S</t>
  </si>
  <si>
    <t>0120163300</t>
  </si>
  <si>
    <t>112 244 852</t>
  </si>
  <si>
    <t>121 122 129</t>
  </si>
  <si>
    <t>01208S08300</t>
  </si>
  <si>
    <t>Е1</t>
  </si>
  <si>
    <t>Региональный проект "Современная школа"</t>
  </si>
  <si>
    <t>012Е160250</t>
  </si>
  <si>
    <t>244 321</t>
  </si>
  <si>
    <t>244 853</t>
  </si>
  <si>
    <t>Приложение № 1</t>
  </si>
  <si>
    <t>К постановлению Администрации МО «Игринский район»</t>
  </si>
  <si>
    <t>От______________ 2020г. №____</t>
  </si>
  <si>
    <t>Приложение № 2</t>
  </si>
  <si>
    <t>Приложение № 3</t>
  </si>
  <si>
    <t>111 112 119 321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</si>
</sst>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4" formatCode="#,##0.00000"/>
  </numFmts>
  <fonts count="35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i/>
      <sz val="8.5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4" fillId="0" borderId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22">
    <xf numFmtId="0" fontId="0" fillId="0" borderId="0" xfId="0"/>
    <xf numFmtId="0" fontId="17" fillId="0" borderId="0" xfId="0" applyFont="1" applyFill="1"/>
    <xf numFmtId="0" fontId="17" fillId="0" borderId="0" xfId="0" applyFont="1" applyFill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indent="14"/>
    </xf>
    <xf numFmtId="0" fontId="18" fillId="0" borderId="0" xfId="0" applyFont="1" applyFill="1" applyAlignment="1">
      <alignment horizontal="center"/>
    </xf>
    <xf numFmtId="49" fontId="20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/>
    </xf>
    <xf numFmtId="17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left" vertical="center" wrapText="1"/>
    </xf>
    <xf numFmtId="0" fontId="21" fillId="24" borderId="1" xfId="0" applyFont="1" applyFill="1" applyBorder="1" applyAlignment="1">
      <alignment horizontal="left" vertical="center" wrapText="1"/>
    </xf>
    <xf numFmtId="172" fontId="21" fillId="24" borderId="1" xfId="0" applyNumberFormat="1" applyFont="1" applyFill="1" applyBorder="1" applyAlignment="1">
      <alignment horizontal="right" vertical="center" wrapText="1"/>
    </xf>
    <xf numFmtId="172" fontId="21" fillId="24" borderId="1" xfId="0" applyNumberFormat="1" applyFont="1" applyFill="1" applyBorder="1" applyAlignment="1">
      <alignment horizontal="right" vertical="center"/>
    </xf>
    <xf numFmtId="172" fontId="20" fillId="24" borderId="1" xfId="0" applyNumberFormat="1" applyFont="1" applyFill="1" applyBorder="1" applyAlignment="1">
      <alignment horizontal="right" vertical="center"/>
    </xf>
    <xf numFmtId="0" fontId="20" fillId="24" borderId="1" xfId="0" applyFont="1" applyFill="1" applyBorder="1" applyAlignment="1">
      <alignment horizontal="left" vertical="center" wrapText="1" indent="1"/>
    </xf>
    <xf numFmtId="0" fontId="20" fillId="24" borderId="1" xfId="0" applyFont="1" applyFill="1" applyBorder="1" applyAlignment="1">
      <alignment vertical="center" wrapText="1"/>
    </xf>
    <xf numFmtId="0" fontId="21" fillId="25" borderId="1" xfId="0" applyFont="1" applyFill="1" applyBorder="1" applyAlignment="1">
      <alignment vertical="top" wrapText="1"/>
    </xf>
    <xf numFmtId="0" fontId="20" fillId="25" borderId="1" xfId="0" applyFont="1" applyFill="1" applyBorder="1" applyAlignment="1">
      <alignment vertical="top" wrapText="1"/>
    </xf>
    <xf numFmtId="0" fontId="21" fillId="26" borderId="1" xfId="0" applyFont="1" applyFill="1" applyBorder="1" applyAlignment="1">
      <alignment horizontal="left" vertical="top" wrapText="1"/>
    </xf>
    <xf numFmtId="0" fontId="21" fillId="26" borderId="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/>
    </xf>
    <xf numFmtId="49" fontId="17" fillId="25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 wrapText="1"/>
    </xf>
    <xf numFmtId="49" fontId="18" fillId="25" borderId="1" xfId="0" applyNumberFormat="1" applyFont="1" applyFill="1" applyBorder="1" applyAlignment="1">
      <alignment horizontal="center" vertical="top"/>
    </xf>
    <xf numFmtId="49" fontId="18" fillId="26" borderId="1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 applyAlignment="1">
      <alignment horizontal="left" indent="14"/>
    </xf>
    <xf numFmtId="0" fontId="17" fillId="0" borderId="0" xfId="0" applyFont="1" applyAlignment="1">
      <alignment horizontal="left" indent="5"/>
    </xf>
    <xf numFmtId="0" fontId="26" fillId="0" borderId="0" xfId="0" applyFont="1" applyFill="1"/>
    <xf numFmtId="172" fontId="23" fillId="0" borderId="0" xfId="0" applyNumberFormat="1" applyFont="1" applyFill="1"/>
    <xf numFmtId="172" fontId="26" fillId="0" borderId="0" xfId="0" applyNumberFormat="1" applyFont="1"/>
    <xf numFmtId="0" fontId="26" fillId="25" borderId="0" xfId="0" applyFont="1" applyFill="1"/>
    <xf numFmtId="49" fontId="20" fillId="0" borderId="11" xfId="0" applyNumberFormat="1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/>
    </xf>
    <xf numFmtId="172" fontId="27" fillId="26" borderId="1" xfId="0" applyNumberFormat="1" applyFont="1" applyFill="1" applyBorder="1" applyAlignment="1">
      <alignment horizontal="right" vertical="top"/>
    </xf>
    <xf numFmtId="172" fontId="27" fillId="25" borderId="1" xfId="0" applyNumberFormat="1" applyFont="1" applyFill="1" applyBorder="1" applyAlignment="1">
      <alignment horizontal="right" vertical="top"/>
    </xf>
    <xf numFmtId="172" fontId="28" fillId="25" borderId="1" xfId="0" applyNumberFormat="1" applyFont="1" applyFill="1" applyBorder="1" applyAlignment="1">
      <alignment horizontal="right" vertical="top"/>
    </xf>
    <xf numFmtId="172" fontId="28" fillId="0" borderId="1" xfId="0" applyNumberFormat="1" applyFont="1" applyFill="1" applyBorder="1" applyAlignment="1">
      <alignment horizontal="right" vertical="top" shrinkToFit="1"/>
    </xf>
    <xf numFmtId="172" fontId="28" fillId="0" borderId="1" xfId="0" applyNumberFormat="1" applyFont="1" applyFill="1" applyBorder="1" applyAlignment="1">
      <alignment horizontal="right" vertical="top"/>
    </xf>
    <xf numFmtId="4" fontId="28" fillId="0" borderId="1" xfId="0" applyNumberFormat="1" applyFont="1" applyFill="1" applyBorder="1" applyAlignment="1">
      <alignment horizontal="right" vertical="top"/>
    </xf>
    <xf numFmtId="0" fontId="20" fillId="25" borderId="1" xfId="0" quotePrefix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/>
    </xf>
    <xf numFmtId="49" fontId="20" fillId="0" borderId="12" xfId="0" applyNumberFormat="1" applyFont="1" applyFill="1" applyBorder="1" applyAlignment="1">
      <alignment vertical="top"/>
    </xf>
    <xf numFmtId="49" fontId="20" fillId="0" borderId="11" xfId="0" applyNumberFormat="1" applyFont="1" applyFill="1" applyBorder="1" applyAlignment="1">
      <alignment vertical="top"/>
    </xf>
    <xf numFmtId="1" fontId="17" fillId="0" borderId="0" xfId="0" applyNumberFormat="1" applyFont="1"/>
    <xf numFmtId="0" fontId="20" fillId="0" borderId="11" xfId="0" quotePrefix="1" applyFont="1" applyFill="1" applyBorder="1" applyAlignment="1">
      <alignment horizontal="center" vertical="top" wrapText="1"/>
    </xf>
    <xf numFmtId="172" fontId="23" fillId="0" borderId="0" xfId="0" applyNumberFormat="1" applyFont="1"/>
    <xf numFmtId="49" fontId="20" fillId="0" borderId="13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/>
    </xf>
    <xf numFmtId="49" fontId="17" fillId="0" borderId="11" xfId="0" applyNumberFormat="1" applyFont="1" applyFill="1" applyBorder="1" applyAlignment="1">
      <alignment vertical="top"/>
    </xf>
    <xf numFmtId="0" fontId="20" fillId="0" borderId="1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172" fontId="21" fillId="0" borderId="0" xfId="0" applyNumberFormat="1" applyFont="1" applyFill="1" applyBorder="1" applyAlignment="1"/>
    <xf numFmtId="172" fontId="29" fillId="0" borderId="1" xfId="0" applyNumberFormat="1" applyFont="1" applyFill="1" applyBorder="1" applyAlignment="1">
      <alignment vertical="top" wrapText="1"/>
    </xf>
    <xf numFmtId="172" fontId="29" fillId="0" borderId="1" xfId="0" applyNumberFormat="1" applyFont="1" applyFill="1" applyBorder="1" applyAlignment="1">
      <alignment horizontal="center" vertical="top"/>
    </xf>
    <xf numFmtId="172" fontId="27" fillId="26" borderId="1" xfId="0" applyNumberFormat="1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 wrapText="1"/>
    </xf>
    <xf numFmtId="172" fontId="21" fillId="0" borderId="0" xfId="0" applyNumberFormat="1" applyFont="1" applyFill="1" applyBorder="1" applyAlignment="1">
      <alignment vertical="top"/>
    </xf>
    <xf numFmtId="3" fontId="27" fillId="26" borderId="1" xfId="0" applyNumberFormat="1" applyFont="1" applyFill="1" applyBorder="1" applyAlignment="1">
      <alignment vertical="top"/>
    </xf>
    <xf numFmtId="3" fontId="26" fillId="0" borderId="0" xfId="0" applyNumberFormat="1" applyFont="1"/>
    <xf numFmtId="184" fontId="26" fillId="0" borderId="0" xfId="0" applyNumberFormat="1" applyFont="1"/>
    <xf numFmtId="172" fontId="20" fillId="0" borderId="1" xfId="0" applyNumberFormat="1" applyFont="1" applyFill="1" applyBorder="1" applyAlignment="1">
      <alignment vertical="top" wrapText="1"/>
    </xf>
    <xf numFmtId="172" fontId="20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Fill="1" applyBorder="1" applyAlignment="1">
      <alignment vertical="top"/>
    </xf>
    <xf numFmtId="172" fontId="20" fillId="0" borderId="1" xfId="0" applyNumberFormat="1" applyFont="1" applyFill="1" applyBorder="1" applyAlignment="1">
      <alignment vertical="top"/>
    </xf>
    <xf numFmtId="0" fontId="26" fillId="0" borderId="0" xfId="0" applyFont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172" fontId="27" fillId="26" borderId="13" xfId="0" applyNumberFormat="1" applyFont="1" applyFill="1" applyBorder="1" applyAlignment="1">
      <alignment vertical="top"/>
    </xf>
    <xf numFmtId="3" fontId="27" fillId="26" borderId="13" xfId="0" applyNumberFormat="1" applyFont="1" applyFill="1" applyBorder="1" applyAlignment="1">
      <alignment vertical="top"/>
    </xf>
    <xf numFmtId="0" fontId="26" fillId="0" borderId="15" xfId="0" applyFont="1" applyBorder="1"/>
    <xf numFmtId="3" fontId="20" fillId="0" borderId="0" xfId="0" applyNumberFormat="1" applyFont="1" applyFill="1" applyBorder="1" applyAlignment="1">
      <alignment vertical="top"/>
    </xf>
    <xf numFmtId="172" fontId="20" fillId="0" borderId="0" xfId="0" applyNumberFormat="1" applyFont="1" applyFill="1" applyBorder="1" applyAlignment="1">
      <alignment vertical="top"/>
    </xf>
    <xf numFmtId="0" fontId="26" fillId="0" borderId="16" xfId="0" applyFont="1" applyBorder="1"/>
    <xf numFmtId="172" fontId="27" fillId="26" borderId="15" xfId="0" applyNumberFormat="1" applyFont="1" applyFill="1" applyBorder="1" applyAlignment="1">
      <alignment vertical="top"/>
    </xf>
    <xf numFmtId="172" fontId="21" fillId="0" borderId="15" xfId="0" applyNumberFormat="1" applyFont="1" applyFill="1" applyBorder="1" applyAlignment="1">
      <alignment vertical="top"/>
    </xf>
    <xf numFmtId="3" fontId="27" fillId="26" borderId="15" xfId="0" applyNumberFormat="1" applyFont="1" applyFill="1" applyBorder="1" applyAlignment="1">
      <alignment vertical="top"/>
    </xf>
    <xf numFmtId="172" fontId="27" fillId="26" borderId="16" xfId="0" applyNumberFormat="1" applyFont="1" applyFill="1" applyBorder="1" applyAlignment="1">
      <alignment vertical="top"/>
    </xf>
    <xf numFmtId="172" fontId="21" fillId="0" borderId="16" xfId="0" applyNumberFormat="1" applyFont="1" applyFill="1" applyBorder="1" applyAlignment="1">
      <alignment vertical="top"/>
    </xf>
    <xf numFmtId="3" fontId="27" fillId="26" borderId="16" xfId="0" applyNumberFormat="1" applyFont="1" applyFill="1" applyBorder="1" applyAlignment="1">
      <alignment vertical="top"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7" fillId="26" borderId="13" xfId="0" applyNumberFormat="1" applyFont="1" applyFill="1" applyBorder="1" applyAlignment="1">
      <alignment horizontal="right" vertical="top"/>
    </xf>
    <xf numFmtId="172" fontId="27" fillId="25" borderId="13" xfId="0" applyNumberFormat="1" applyFont="1" applyFill="1" applyBorder="1" applyAlignment="1">
      <alignment horizontal="right" vertical="top"/>
    </xf>
    <xf numFmtId="172" fontId="28" fillId="25" borderId="13" xfId="0" applyNumberFormat="1" applyFont="1" applyFill="1" applyBorder="1" applyAlignment="1">
      <alignment horizontal="right" vertical="top"/>
    </xf>
    <xf numFmtId="172" fontId="28" fillId="0" borderId="13" xfId="0" applyNumberFormat="1" applyFont="1" applyFill="1" applyBorder="1" applyAlignment="1">
      <alignment horizontal="right" vertical="top"/>
    </xf>
    <xf numFmtId="172" fontId="28" fillId="0" borderId="13" xfId="0" applyNumberFormat="1" applyFont="1" applyFill="1" applyBorder="1" applyAlignment="1">
      <alignment horizontal="right" vertical="top" shrinkToFit="1"/>
    </xf>
    <xf numFmtId="0" fontId="20" fillId="0" borderId="17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172" fontId="20" fillId="24" borderId="13" xfId="0" applyNumberFormat="1" applyFont="1" applyFill="1" applyBorder="1" applyAlignment="1">
      <alignment horizontal="right" vertical="center"/>
    </xf>
    <xf numFmtId="172" fontId="26" fillId="0" borderId="0" xfId="0" applyNumberFormat="1" applyFont="1" applyBorder="1"/>
    <xf numFmtId="3" fontId="26" fillId="0" borderId="0" xfId="0" applyNumberFormat="1" applyFont="1" applyBorder="1"/>
    <xf numFmtId="0" fontId="17" fillId="0" borderId="13" xfId="0" applyFont="1" applyFill="1" applyBorder="1" applyAlignment="1">
      <alignment horizontal="center" vertical="top" wrapText="1"/>
    </xf>
    <xf numFmtId="0" fontId="26" fillId="0" borderId="24" xfId="0" applyFont="1" applyBorder="1"/>
    <xf numFmtId="172" fontId="29" fillId="0" borderId="25" xfId="0" applyNumberFormat="1" applyFont="1" applyFill="1" applyBorder="1" applyAlignment="1">
      <alignment vertical="top" wrapText="1"/>
    </xf>
    <xf numFmtId="172" fontId="29" fillId="0" borderId="25" xfId="0" applyNumberFormat="1" applyFont="1" applyFill="1" applyBorder="1" applyAlignment="1">
      <alignment horizontal="center" vertical="top"/>
    </xf>
    <xf numFmtId="172" fontId="27" fillId="26" borderId="25" xfId="0" applyNumberFormat="1" applyFont="1" applyFill="1" applyBorder="1" applyAlignment="1">
      <alignment vertical="top"/>
    </xf>
    <xf numFmtId="172" fontId="27" fillId="26" borderId="26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4" fontId="26" fillId="0" borderId="0" xfId="0" applyNumberFormat="1" applyFont="1"/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Border="1"/>
    <xf numFmtId="4" fontId="27" fillId="26" borderId="13" xfId="0" applyNumberFormat="1" applyFont="1" applyFill="1" applyBorder="1" applyAlignment="1">
      <alignment horizontal="right" vertical="top"/>
    </xf>
    <xf numFmtId="4" fontId="27" fillId="25" borderId="13" xfId="0" applyNumberFormat="1" applyFont="1" applyFill="1" applyBorder="1" applyAlignment="1">
      <alignment horizontal="right" vertical="top"/>
    </xf>
    <xf numFmtId="4" fontId="28" fillId="25" borderId="13" xfId="0" applyNumberFormat="1" applyFont="1" applyFill="1" applyBorder="1" applyAlignment="1">
      <alignment horizontal="right" vertical="top"/>
    </xf>
    <xf numFmtId="4" fontId="26" fillId="0" borderId="15" xfId="0" applyNumberFormat="1" applyFont="1" applyFill="1" applyBorder="1"/>
    <xf numFmtId="172" fontId="21" fillId="0" borderId="23" xfId="0" applyNumberFormat="1" applyFont="1" applyFill="1" applyBorder="1" applyAlignment="1"/>
    <xf numFmtId="0" fontId="18" fillId="0" borderId="0" xfId="0" applyFont="1" applyBorder="1" applyAlignment="1">
      <alignment vertical="center"/>
    </xf>
    <xf numFmtId="49" fontId="17" fillId="0" borderId="13" xfId="0" applyNumberFormat="1" applyFont="1" applyFill="1" applyBorder="1" applyAlignment="1">
      <alignment horizontal="center" vertical="top"/>
    </xf>
    <xf numFmtId="172" fontId="28" fillId="0" borderId="1" xfId="0" applyNumberFormat="1" applyFont="1" applyFill="1" applyBorder="1" applyAlignment="1">
      <alignment horizontal="center" vertical="center"/>
    </xf>
    <xf numFmtId="172" fontId="28" fillId="0" borderId="13" xfId="0" applyNumberFormat="1" applyFont="1" applyFill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172" fontId="32" fillId="0" borderId="1" xfId="0" applyNumberFormat="1" applyFont="1" applyFill="1" applyBorder="1" applyAlignment="1">
      <alignment horizontal="center" vertical="center"/>
    </xf>
    <xf numFmtId="172" fontId="32" fillId="0" borderId="13" xfId="0" applyNumberFormat="1" applyFont="1" applyFill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172" fontId="32" fillId="0" borderId="1" xfId="0" applyNumberFormat="1" applyFont="1" applyFill="1" applyBorder="1" applyAlignment="1">
      <alignment horizontal="center" vertical="center" shrinkToFit="1"/>
    </xf>
    <xf numFmtId="172" fontId="32" fillId="0" borderId="13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top" wrapText="1"/>
    </xf>
    <xf numFmtId="172" fontId="28" fillId="0" borderId="10" xfId="0" applyNumberFormat="1" applyFont="1" applyFill="1" applyBorder="1" applyAlignment="1">
      <alignment horizontal="right" vertical="top"/>
    </xf>
    <xf numFmtId="172" fontId="28" fillId="0" borderId="27" xfId="0" applyNumberFormat="1" applyFont="1" applyFill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49" fontId="18" fillId="25" borderId="11" xfId="0" applyNumberFormat="1" applyFont="1" applyFill="1" applyBorder="1" applyAlignment="1">
      <alignment horizontal="center" vertical="top"/>
    </xf>
    <xf numFmtId="172" fontId="27" fillId="25" borderId="11" xfId="0" applyNumberFormat="1" applyFont="1" applyFill="1" applyBorder="1" applyAlignment="1">
      <alignment horizontal="right" vertical="top"/>
    </xf>
    <xf numFmtId="49" fontId="17" fillId="0" borderId="15" xfId="0" applyNumberFormat="1" applyFont="1" applyFill="1" applyBorder="1" applyAlignment="1">
      <alignment horizontal="center" vertical="top" wrapText="1"/>
    </xf>
    <xf numFmtId="172" fontId="28" fillId="0" borderId="15" xfId="0" applyNumberFormat="1" applyFont="1" applyFill="1" applyBorder="1" applyAlignment="1">
      <alignment horizontal="right" vertical="top"/>
    </xf>
    <xf numFmtId="172" fontId="28" fillId="0" borderId="15" xfId="0" applyNumberFormat="1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172" fontId="20" fillId="24" borderId="27" xfId="0" applyNumberFormat="1" applyFont="1" applyFill="1" applyBorder="1" applyAlignment="1">
      <alignment horizontal="right" vertical="center"/>
    </xf>
    <xf numFmtId="0" fontId="26" fillId="0" borderId="22" xfId="0" applyFont="1" applyBorder="1"/>
    <xf numFmtId="172" fontId="20" fillId="24" borderId="15" xfId="0" applyNumberFormat="1" applyFont="1" applyFill="1" applyBorder="1" applyAlignment="1">
      <alignment horizontal="right" vertical="center"/>
    </xf>
    <xf numFmtId="172" fontId="21" fillId="0" borderId="1" xfId="0" applyNumberFormat="1" applyFont="1" applyFill="1" applyBorder="1" applyAlignment="1">
      <alignment vertical="top"/>
    </xf>
    <xf numFmtId="49" fontId="20" fillId="0" borderId="1" xfId="0" applyNumberFormat="1" applyFont="1" applyFill="1" applyBorder="1" applyAlignment="1">
      <alignment horizontal="center" vertical="top"/>
    </xf>
    <xf numFmtId="172" fontId="20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172" fontId="29" fillId="0" borderId="32" xfId="0" applyNumberFormat="1" applyFont="1" applyFill="1" applyBorder="1" applyAlignment="1">
      <alignment vertical="top" wrapText="1"/>
    </xf>
    <xf numFmtId="172" fontId="29" fillId="0" borderId="33" xfId="0" applyNumberFormat="1" applyFont="1" applyFill="1" applyBorder="1" applyAlignment="1">
      <alignment vertical="top" wrapText="1"/>
    </xf>
    <xf numFmtId="172" fontId="18" fillId="0" borderId="32" xfId="0" applyNumberFormat="1" applyFont="1" applyFill="1" applyBorder="1" applyAlignment="1">
      <alignment vertical="top"/>
    </xf>
    <xf numFmtId="172" fontId="18" fillId="0" borderId="1" xfId="0" applyNumberFormat="1" applyFont="1" applyFill="1" applyBorder="1" applyAlignment="1">
      <alignment vertical="top"/>
    </xf>
    <xf numFmtId="172" fontId="18" fillId="0" borderId="32" xfId="0" applyNumberFormat="1" applyFont="1" applyFill="1" applyBorder="1" applyAlignment="1"/>
    <xf numFmtId="172" fontId="18" fillId="0" borderId="11" xfId="0" applyNumberFormat="1" applyFont="1" applyFill="1" applyBorder="1" applyAlignment="1"/>
    <xf numFmtId="0" fontId="18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20" fillId="0" borderId="10" xfId="0" quotePrefix="1" applyFont="1" applyFill="1" applyBorder="1" applyAlignment="1">
      <alignment horizontal="center" vertical="top" wrapText="1"/>
    </xf>
    <xf numFmtId="0" fontId="20" fillId="0" borderId="11" xfId="0" quotePrefix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49" fontId="21" fillId="25" borderId="1" xfId="0" applyNumberFormat="1" applyFont="1" applyFill="1" applyBorder="1" applyAlignment="1">
      <alignment horizontal="center" vertical="top"/>
    </xf>
    <xf numFmtId="0" fontId="21" fillId="25" borderId="1" xfId="0" applyFont="1" applyFill="1" applyBorder="1" applyAlignment="1">
      <alignment horizontal="left" vertical="top" wrapText="1"/>
    </xf>
    <xf numFmtId="49" fontId="21" fillId="25" borderId="10" xfId="0" applyNumberFormat="1" applyFont="1" applyFill="1" applyBorder="1" applyAlignment="1">
      <alignment horizontal="center" vertical="top"/>
    </xf>
    <xf numFmtId="49" fontId="21" fillId="25" borderId="12" xfId="0" applyNumberFormat="1" applyFont="1" applyFill="1" applyBorder="1" applyAlignment="1">
      <alignment horizontal="center" vertical="top"/>
    </xf>
    <xf numFmtId="49" fontId="21" fillId="25" borderId="11" xfId="0" applyNumberFormat="1" applyFont="1" applyFill="1" applyBorder="1" applyAlignment="1">
      <alignment horizontal="center" vertical="top"/>
    </xf>
    <xf numFmtId="0" fontId="21" fillId="25" borderId="10" xfId="0" applyFont="1" applyFill="1" applyBorder="1" applyAlignment="1">
      <alignment horizontal="center" vertical="top" wrapText="1"/>
    </xf>
    <xf numFmtId="0" fontId="21" fillId="25" borderId="12" xfId="0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49" fontId="21" fillId="26" borderId="1" xfId="0" applyNumberFormat="1" applyFont="1" applyFill="1" applyBorder="1" applyAlignment="1">
      <alignment horizontal="center" vertical="top"/>
    </xf>
    <xf numFmtId="0" fontId="21" fillId="27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49" fontId="20" fillId="24" borderId="1" xfId="0" applyNumberFormat="1" applyFont="1" applyFill="1" applyBorder="1" applyAlignment="1">
      <alignment horizontal="center" vertical="center"/>
    </xf>
    <xf numFmtId="0" fontId="20" fillId="24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19" fillId="24" borderId="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4"/>
  <sheetViews>
    <sheetView tabSelected="1" zoomScale="85" zoomScaleNormal="85" workbookViewId="0">
      <selection activeCell="L50" sqref="L50"/>
    </sheetView>
  </sheetViews>
  <sheetFormatPr defaultRowHeight="15" x14ac:dyDescent="0.25"/>
  <cols>
    <col min="1" max="1" width="4.42578125" style="30" customWidth="1"/>
    <col min="2" max="2" width="5.140625" style="30" customWidth="1"/>
    <col min="3" max="3" width="4.7109375" style="30" customWidth="1"/>
    <col min="4" max="4" width="23.5703125" style="30" customWidth="1"/>
    <col min="5" max="5" width="20" style="30" customWidth="1"/>
    <col min="6" max="6" width="8.5703125" style="30" customWidth="1"/>
    <col min="7" max="7" width="9.85546875" style="30" customWidth="1"/>
    <col min="8" max="8" width="9.42578125" style="30" customWidth="1"/>
    <col min="9" max="9" width="9.7109375" style="30" customWidth="1"/>
    <col min="10" max="10" width="9.5703125" style="30" customWidth="1"/>
    <col min="11" max="11" width="9" style="30" customWidth="1"/>
    <col min="12" max="13" width="9.5703125" style="30" customWidth="1"/>
    <col min="14" max="14" width="9.42578125" style="30" customWidth="1"/>
    <col min="15" max="15" width="9.85546875" style="30" customWidth="1"/>
    <col min="16" max="16" width="9.5703125" style="30" customWidth="1"/>
    <col min="17" max="18" width="9.28515625" style="30" customWidth="1"/>
    <col min="19" max="16384" width="9.140625" style="30"/>
  </cols>
  <sheetData>
    <row r="1" spans="1:19" ht="15.75" x14ac:dyDescent="0.25">
      <c r="J1" s="148" t="s">
        <v>312</v>
      </c>
    </row>
    <row r="2" spans="1:19" ht="15.75" x14ac:dyDescent="0.25">
      <c r="J2" s="148" t="s">
        <v>313</v>
      </c>
    </row>
    <row r="3" spans="1:19" ht="15.75" x14ac:dyDescent="0.25">
      <c r="J3" s="148" t="s">
        <v>314</v>
      </c>
    </row>
    <row r="5" spans="1:19" x14ac:dyDescent="0.25">
      <c r="A5" s="31"/>
      <c r="L5" s="5" t="s">
        <v>262</v>
      </c>
    </row>
    <row r="6" spans="1:19" x14ac:dyDescent="0.25">
      <c r="A6" s="31"/>
      <c r="L6" s="5" t="s">
        <v>58</v>
      </c>
    </row>
    <row r="7" spans="1:19" x14ac:dyDescent="0.25">
      <c r="A7" s="31"/>
      <c r="B7" s="31"/>
      <c r="C7" s="31"/>
      <c r="D7" s="31"/>
      <c r="E7" s="31"/>
      <c r="F7" s="31"/>
      <c r="H7" s="32"/>
      <c r="J7" s="2"/>
      <c r="L7" s="5" t="s">
        <v>274</v>
      </c>
      <c r="N7" s="2"/>
      <c r="O7" s="2"/>
    </row>
    <row r="8" spans="1:19" ht="16.5" customHeight="1" x14ac:dyDescent="0.25">
      <c r="A8" s="31"/>
      <c r="B8" s="31"/>
      <c r="C8" s="31"/>
      <c r="D8" s="31"/>
      <c r="E8" s="31"/>
      <c r="F8" s="31"/>
      <c r="H8" s="32"/>
      <c r="I8" s="32"/>
      <c r="J8" s="75"/>
      <c r="K8" s="75"/>
      <c r="L8" s="75"/>
      <c r="M8" s="75"/>
      <c r="N8" s="75"/>
      <c r="O8" s="75"/>
    </row>
    <row r="9" spans="1:19" s="31" customFormat="1" ht="18.75" x14ac:dyDescent="0.3">
      <c r="A9" s="1"/>
      <c r="B9" s="1"/>
      <c r="C9" s="1"/>
      <c r="D9" s="1"/>
      <c r="E9" s="1"/>
      <c r="F9" s="1"/>
      <c r="G9" s="1"/>
      <c r="I9" s="2"/>
      <c r="J9" s="1"/>
      <c r="K9" s="1"/>
      <c r="L9" s="29"/>
      <c r="M9" s="29"/>
      <c r="N9" s="29"/>
      <c r="O9" s="29"/>
    </row>
    <row r="10" spans="1:19" s="31" customFormat="1" ht="14.1" customHeight="1" x14ac:dyDescent="0.2">
      <c r="A10" s="163" t="s">
        <v>227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2"/>
      <c r="M10" s="2"/>
      <c r="N10" s="2"/>
      <c r="O10" s="2"/>
    </row>
    <row r="11" spans="1:19" s="31" customFormat="1" ht="14.1" customHeight="1" x14ac:dyDescent="0.2">
      <c r="A11" s="1"/>
      <c r="B11" s="1"/>
      <c r="C11" s="1"/>
      <c r="D11" s="80"/>
      <c r="E11" s="80"/>
      <c r="F11" s="80"/>
      <c r="G11" s="169" t="s">
        <v>281</v>
      </c>
      <c r="H11" s="170"/>
      <c r="I11" s="170"/>
      <c r="J11" s="170"/>
      <c r="K11" s="169" t="s">
        <v>282</v>
      </c>
      <c r="L11" s="170"/>
      <c r="M11" s="170"/>
      <c r="N11" s="170"/>
      <c r="O11" s="170"/>
      <c r="P11" s="172"/>
      <c r="Q11" s="77"/>
      <c r="R11" s="77"/>
    </row>
    <row r="12" spans="1:19" ht="65.25" customHeight="1" x14ac:dyDescent="0.25">
      <c r="A12" s="164" t="s">
        <v>59</v>
      </c>
      <c r="B12" s="164"/>
      <c r="C12" s="165" t="s">
        <v>24</v>
      </c>
      <c r="D12" s="166" t="s">
        <v>228</v>
      </c>
      <c r="E12" s="168" t="s">
        <v>229</v>
      </c>
      <c r="F12" s="168" t="s">
        <v>230</v>
      </c>
      <c r="G12" s="168" t="s">
        <v>60</v>
      </c>
      <c r="H12" s="168" t="s">
        <v>61</v>
      </c>
      <c r="I12" s="168" t="s">
        <v>62</v>
      </c>
      <c r="J12" s="168" t="s">
        <v>63</v>
      </c>
      <c r="K12" s="168" t="s">
        <v>64</v>
      </c>
      <c r="L12" s="168" t="s">
        <v>65</v>
      </c>
      <c r="M12" s="168" t="s">
        <v>260</v>
      </c>
      <c r="N12" s="168" t="s">
        <v>275</v>
      </c>
      <c r="O12" s="168" t="s">
        <v>276</v>
      </c>
      <c r="P12" s="168" t="s">
        <v>277</v>
      </c>
      <c r="Q12" s="171"/>
      <c r="R12" s="171"/>
      <c r="S12" s="101"/>
    </row>
    <row r="13" spans="1:19" ht="13.5" hidden="1" customHeight="1" x14ac:dyDescent="0.25">
      <c r="A13" s="61" t="s">
        <v>66</v>
      </c>
      <c r="B13" s="61" t="s">
        <v>67</v>
      </c>
      <c r="C13" s="165"/>
      <c r="D13" s="167" t="s">
        <v>226</v>
      </c>
      <c r="E13" s="168" t="s">
        <v>22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71"/>
      <c r="R13" s="171"/>
      <c r="S13" s="101"/>
    </row>
    <row r="14" spans="1:19" ht="14.1" customHeight="1" x14ac:dyDescent="0.25">
      <c r="A14" s="25" t="s">
        <v>68</v>
      </c>
      <c r="B14" s="61">
        <v>1</v>
      </c>
      <c r="C14" s="81"/>
      <c r="D14" s="161" t="s">
        <v>266</v>
      </c>
      <c r="E14" s="162"/>
      <c r="F14" s="162"/>
      <c r="G14" s="162"/>
      <c r="H14" s="162"/>
      <c r="I14" s="162"/>
      <c r="J14" s="162"/>
      <c r="K14" s="162"/>
      <c r="L14" s="62"/>
      <c r="M14" s="62"/>
      <c r="N14" s="126"/>
      <c r="O14" s="62"/>
      <c r="P14" s="112"/>
      <c r="Q14" s="101"/>
      <c r="R14" s="101"/>
      <c r="S14" s="101"/>
    </row>
    <row r="15" spans="1:19" ht="23.25" customHeight="1" x14ac:dyDescent="0.25">
      <c r="A15" s="155" t="s">
        <v>68</v>
      </c>
      <c r="B15" s="155" t="s">
        <v>69</v>
      </c>
      <c r="C15" s="156" t="s">
        <v>25</v>
      </c>
      <c r="D15" s="157" t="s">
        <v>231</v>
      </c>
      <c r="E15" s="63" t="s">
        <v>232</v>
      </c>
      <c r="F15" s="64" t="s">
        <v>233</v>
      </c>
      <c r="G15" s="65">
        <v>2193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101"/>
      <c r="R15" s="101"/>
      <c r="S15" s="101"/>
    </row>
    <row r="16" spans="1:19" ht="38.25" customHeight="1" x14ac:dyDescent="0.25">
      <c r="A16" s="155"/>
      <c r="B16" s="155" t="s">
        <v>69</v>
      </c>
      <c r="C16" s="156"/>
      <c r="D16" s="157"/>
      <c r="E16" s="63" t="s">
        <v>234</v>
      </c>
      <c r="F16" s="64" t="s">
        <v>235</v>
      </c>
      <c r="G16" s="65">
        <f>2692.001+138063.6+40594.54009+110.6+187.5</f>
        <v>181648.24109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82">
        <v>0</v>
      </c>
      <c r="N16" s="82">
        <v>0</v>
      </c>
      <c r="O16" s="82">
        <v>0</v>
      </c>
      <c r="P16" s="82">
        <v>0</v>
      </c>
      <c r="Q16" s="101"/>
      <c r="R16" s="101"/>
      <c r="S16" s="101"/>
    </row>
    <row r="17" spans="1:22" ht="23.25" customHeight="1" x14ac:dyDescent="0.25">
      <c r="A17" s="155" t="s">
        <v>68</v>
      </c>
      <c r="B17" s="155" t="s">
        <v>69</v>
      </c>
      <c r="C17" s="156" t="s">
        <v>25</v>
      </c>
      <c r="D17" s="157" t="s">
        <v>236</v>
      </c>
      <c r="E17" s="63" t="s">
        <v>232</v>
      </c>
      <c r="F17" s="64" t="s">
        <v>233</v>
      </c>
      <c r="G17" s="65">
        <v>0</v>
      </c>
      <c r="H17" s="65">
        <v>2231</v>
      </c>
      <c r="I17" s="65">
        <v>2231</v>
      </c>
      <c r="J17" s="65">
        <v>2392</v>
      </c>
      <c r="K17" s="65">
        <v>2165</v>
      </c>
      <c r="L17" s="65">
        <v>2243</v>
      </c>
      <c r="M17" s="65">
        <v>2228</v>
      </c>
      <c r="N17" s="65">
        <v>2225</v>
      </c>
      <c r="O17" s="65">
        <v>2225</v>
      </c>
      <c r="P17" s="65">
        <v>2225</v>
      </c>
      <c r="Q17" s="101"/>
      <c r="R17" s="101"/>
      <c r="S17" s="101"/>
    </row>
    <row r="18" spans="1:22" ht="38.25" customHeight="1" x14ac:dyDescent="0.25">
      <c r="A18" s="155"/>
      <c r="B18" s="155" t="s">
        <v>69</v>
      </c>
      <c r="C18" s="156"/>
      <c r="D18" s="157"/>
      <c r="E18" s="63" t="s">
        <v>234</v>
      </c>
      <c r="F18" s="64" t="s">
        <v>235</v>
      </c>
      <c r="G18" s="65">
        <v>0</v>
      </c>
      <c r="H18" s="65">
        <v>184776.65260999999</v>
      </c>
      <c r="I18" s="65">
        <v>183858.89799999999</v>
      </c>
      <c r="J18" s="65">
        <v>99392.6</v>
      </c>
      <c r="K18" s="65">
        <v>116707.55100000001</v>
      </c>
      <c r="L18" s="65">
        <v>117696.65</v>
      </c>
      <c r="M18" s="65">
        <v>117828.9</v>
      </c>
      <c r="N18" s="65">
        <v>117549.9</v>
      </c>
      <c r="O18" s="65">
        <v>122251.89599999999</v>
      </c>
      <c r="P18" s="65">
        <v>127141.97100000001</v>
      </c>
      <c r="Q18" s="101"/>
      <c r="R18" s="101"/>
      <c r="S18" s="101"/>
    </row>
    <row r="19" spans="1:22" ht="23.25" customHeight="1" x14ac:dyDescent="0.25">
      <c r="A19" s="155" t="s">
        <v>68</v>
      </c>
      <c r="B19" s="155" t="s">
        <v>69</v>
      </c>
      <c r="C19" s="156" t="s">
        <v>25</v>
      </c>
      <c r="D19" s="157" t="s">
        <v>251</v>
      </c>
      <c r="E19" s="63" t="s">
        <v>232</v>
      </c>
      <c r="F19" s="64" t="s">
        <v>233</v>
      </c>
      <c r="G19" s="65">
        <v>0</v>
      </c>
      <c r="H19" s="65">
        <v>0</v>
      </c>
      <c r="I19" s="65">
        <v>0</v>
      </c>
      <c r="J19" s="65">
        <v>2392</v>
      </c>
      <c r="K19" s="65">
        <v>2165</v>
      </c>
      <c r="L19" s="65">
        <v>2243</v>
      </c>
      <c r="M19" s="65">
        <v>2228</v>
      </c>
      <c r="N19" s="65">
        <v>2225</v>
      </c>
      <c r="O19" s="65">
        <v>2225</v>
      </c>
      <c r="P19" s="65">
        <v>2225</v>
      </c>
      <c r="Q19" s="101"/>
      <c r="R19" s="101"/>
      <c r="S19" s="101"/>
    </row>
    <row r="20" spans="1:22" ht="38.25" customHeight="1" x14ac:dyDescent="0.25">
      <c r="A20" s="155"/>
      <c r="B20" s="155" t="s">
        <v>69</v>
      </c>
      <c r="C20" s="156"/>
      <c r="D20" s="157"/>
      <c r="E20" s="63" t="s">
        <v>234</v>
      </c>
      <c r="F20" s="64" t="s">
        <v>235</v>
      </c>
      <c r="G20" s="65">
        <v>0</v>
      </c>
      <c r="H20" s="65">
        <v>0</v>
      </c>
      <c r="I20" s="65">
        <v>0</v>
      </c>
      <c r="J20" s="65">
        <v>99392.6</v>
      </c>
      <c r="K20" s="65">
        <v>116707.55100000001</v>
      </c>
      <c r="L20" s="65">
        <v>117696.65</v>
      </c>
      <c r="M20" s="65">
        <v>117828.9</v>
      </c>
      <c r="N20" s="65">
        <v>117549.9</v>
      </c>
      <c r="O20" s="65">
        <v>122251.89599999999</v>
      </c>
      <c r="P20" s="65">
        <v>127141.97100000001</v>
      </c>
      <c r="Q20" s="109"/>
      <c r="R20" s="101"/>
      <c r="S20" s="109"/>
    </row>
    <row r="21" spans="1:22" ht="15" customHeight="1" x14ac:dyDescent="0.25">
      <c r="A21" s="25" t="s">
        <v>68</v>
      </c>
      <c r="B21" s="66">
        <v>2</v>
      </c>
      <c r="C21" s="111"/>
      <c r="D21" s="159" t="s">
        <v>267</v>
      </c>
      <c r="E21" s="160"/>
      <c r="F21" s="160"/>
      <c r="G21" s="160"/>
      <c r="H21" s="160"/>
      <c r="I21" s="160"/>
      <c r="J21" s="160"/>
      <c r="K21" s="160"/>
      <c r="L21" s="67"/>
      <c r="M21" s="67"/>
      <c r="N21" s="89"/>
      <c r="O21" s="92"/>
      <c r="P21" s="87"/>
      <c r="Q21" s="101"/>
      <c r="R21" s="101"/>
      <c r="S21" s="101"/>
    </row>
    <row r="22" spans="1:22" ht="13.5" customHeight="1" x14ac:dyDescent="0.25">
      <c r="A22" s="155" t="s">
        <v>68</v>
      </c>
      <c r="B22" s="155" t="s">
        <v>70</v>
      </c>
      <c r="C22" s="156" t="s">
        <v>25</v>
      </c>
      <c r="D22" s="157" t="s">
        <v>237</v>
      </c>
      <c r="E22" s="63" t="s">
        <v>232</v>
      </c>
      <c r="F22" s="64" t="s">
        <v>233</v>
      </c>
      <c r="G22" s="68">
        <v>4253</v>
      </c>
      <c r="H22" s="65">
        <v>0</v>
      </c>
      <c r="I22" s="68">
        <v>0</v>
      </c>
      <c r="J22" s="68">
        <v>0</v>
      </c>
      <c r="K22" s="68"/>
      <c r="L22" s="68"/>
      <c r="M22" s="68"/>
      <c r="N22" s="68"/>
      <c r="O22" s="68"/>
      <c r="P22" s="68"/>
      <c r="Q22" s="101"/>
      <c r="R22" s="101"/>
      <c r="S22" s="101"/>
    </row>
    <row r="23" spans="1:22" ht="42" customHeight="1" x14ac:dyDescent="0.25">
      <c r="A23" s="155"/>
      <c r="B23" s="155"/>
      <c r="C23" s="156"/>
      <c r="D23" s="157"/>
      <c r="E23" s="63" t="s">
        <v>234</v>
      </c>
      <c r="F23" s="64" t="s">
        <v>235</v>
      </c>
      <c r="G23" s="65">
        <f>4646.19+238319.7+54463.75127</f>
        <v>297429.64127000002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82">
        <v>0</v>
      </c>
      <c r="N23" s="82">
        <v>0</v>
      </c>
      <c r="O23" s="82">
        <v>0</v>
      </c>
      <c r="P23" s="82">
        <v>0</v>
      </c>
      <c r="Q23" s="86"/>
      <c r="R23" s="101"/>
      <c r="S23" s="110"/>
    </row>
    <row r="24" spans="1:22" ht="13.5" customHeight="1" x14ac:dyDescent="0.25">
      <c r="A24" s="155" t="s">
        <v>68</v>
      </c>
      <c r="B24" s="155" t="s">
        <v>70</v>
      </c>
      <c r="C24" s="156" t="s">
        <v>25</v>
      </c>
      <c r="D24" s="157" t="s">
        <v>238</v>
      </c>
      <c r="E24" s="63" t="s">
        <v>232</v>
      </c>
      <c r="F24" s="64" t="s">
        <v>233</v>
      </c>
      <c r="G24" s="68">
        <v>1866</v>
      </c>
      <c r="H24" s="68">
        <v>1866</v>
      </c>
      <c r="I24" s="68">
        <v>1998</v>
      </c>
      <c r="J24" s="68">
        <v>2097</v>
      </c>
      <c r="K24" s="68">
        <v>2145</v>
      </c>
      <c r="L24" s="68">
        <v>2161</v>
      </c>
      <c r="M24" s="68">
        <v>2130</v>
      </c>
      <c r="N24" s="68">
        <v>2098</v>
      </c>
      <c r="O24" s="68">
        <v>2098</v>
      </c>
      <c r="P24" s="68">
        <v>2098</v>
      </c>
      <c r="Q24" s="110"/>
      <c r="R24" s="110"/>
      <c r="S24" s="110"/>
      <c r="T24" s="110"/>
      <c r="U24" s="110"/>
      <c r="V24" s="110"/>
    </row>
    <row r="25" spans="1:22" ht="37.5" customHeight="1" x14ac:dyDescent="0.25">
      <c r="A25" s="155"/>
      <c r="B25" s="155"/>
      <c r="C25" s="156"/>
      <c r="D25" s="157"/>
      <c r="E25" s="63" t="s">
        <v>234</v>
      </c>
      <c r="F25" s="64" t="s">
        <v>235</v>
      </c>
      <c r="G25" s="65">
        <v>0</v>
      </c>
      <c r="H25" s="65">
        <v>129980.85799999999</v>
      </c>
      <c r="I25" s="65">
        <v>137144.70000000001</v>
      </c>
      <c r="J25" s="65">
        <f>2097/4725*331115.95272</f>
        <v>146952.4133024</v>
      </c>
      <c r="K25" s="65">
        <v>167722.837</v>
      </c>
      <c r="L25" s="65">
        <v>167131.29999999999</v>
      </c>
      <c r="M25" s="65">
        <v>166117.07</v>
      </c>
      <c r="N25" s="65">
        <v>161295.16200000001</v>
      </c>
      <c r="O25" s="65">
        <f>N25*1.04</f>
        <v>167746.96848000001</v>
      </c>
      <c r="P25" s="65">
        <f>O25*1.04</f>
        <v>174456.84721920002</v>
      </c>
      <c r="Q25" s="86"/>
      <c r="R25" s="86"/>
      <c r="S25" s="86"/>
      <c r="T25" s="86"/>
      <c r="U25" s="86"/>
      <c r="V25" s="86"/>
    </row>
    <row r="26" spans="1:22" ht="13.5" customHeight="1" x14ac:dyDescent="0.25">
      <c r="A26" s="155" t="s">
        <v>68</v>
      </c>
      <c r="B26" s="155" t="s">
        <v>70</v>
      </c>
      <c r="C26" s="156" t="s">
        <v>25</v>
      </c>
      <c r="D26" s="157" t="s">
        <v>239</v>
      </c>
      <c r="E26" s="63" t="s">
        <v>232</v>
      </c>
      <c r="F26" s="64" t="s">
        <v>233</v>
      </c>
      <c r="G26" s="68">
        <v>1970</v>
      </c>
      <c r="H26" s="68">
        <v>1970</v>
      </c>
      <c r="I26" s="68">
        <v>1956</v>
      </c>
      <c r="J26" s="68">
        <v>1965</v>
      </c>
      <c r="K26" s="68">
        <v>1995</v>
      </c>
      <c r="L26" s="68">
        <v>2114</v>
      </c>
      <c r="M26" s="68">
        <v>2084</v>
      </c>
      <c r="N26" s="68">
        <v>2188</v>
      </c>
      <c r="O26" s="68">
        <v>2188</v>
      </c>
      <c r="P26" s="68">
        <v>2188</v>
      </c>
      <c r="Q26" s="101"/>
      <c r="R26" s="109"/>
      <c r="S26" s="101"/>
    </row>
    <row r="27" spans="1:22" ht="42.75" customHeight="1" x14ac:dyDescent="0.25">
      <c r="A27" s="155"/>
      <c r="B27" s="155"/>
      <c r="C27" s="156"/>
      <c r="D27" s="157"/>
      <c r="E27" s="63" t="s">
        <v>234</v>
      </c>
      <c r="F27" s="64" t="s">
        <v>235</v>
      </c>
      <c r="G27" s="65">
        <v>0</v>
      </c>
      <c r="H27" s="65">
        <v>137225.236</v>
      </c>
      <c r="I27" s="65">
        <v>134261.79999999999</v>
      </c>
      <c r="J27" s="65">
        <f>1965/4725*331115.95272</f>
        <v>137702.18986133335</v>
      </c>
      <c r="K27" s="65">
        <v>155993.967</v>
      </c>
      <c r="L27" s="65">
        <v>163496.4</v>
      </c>
      <c r="M27" s="65">
        <v>162529.565</v>
      </c>
      <c r="N27" s="65">
        <v>168214.40100000001</v>
      </c>
      <c r="O27" s="65">
        <f>N27*1.04</f>
        <v>174942.97704000003</v>
      </c>
      <c r="P27" s="65">
        <f>O27*1.04</f>
        <v>181940.69612160002</v>
      </c>
      <c r="Q27" s="86"/>
      <c r="R27" s="101"/>
      <c r="S27" s="101"/>
    </row>
    <row r="28" spans="1:22" ht="13.5" customHeight="1" x14ac:dyDescent="0.25">
      <c r="A28" s="155" t="s">
        <v>68</v>
      </c>
      <c r="B28" s="155" t="s">
        <v>70</v>
      </c>
      <c r="C28" s="156" t="s">
        <v>25</v>
      </c>
      <c r="D28" s="157" t="s">
        <v>240</v>
      </c>
      <c r="E28" s="63" t="s">
        <v>232</v>
      </c>
      <c r="F28" s="64" t="s">
        <v>233</v>
      </c>
      <c r="G28" s="68">
        <v>329</v>
      </c>
      <c r="H28" s="68">
        <v>329</v>
      </c>
      <c r="I28" s="68">
        <v>334</v>
      </c>
      <c r="J28" s="68">
        <v>353</v>
      </c>
      <c r="K28" s="68">
        <v>351</v>
      </c>
      <c r="L28" s="68">
        <v>327</v>
      </c>
      <c r="M28" s="68">
        <v>359</v>
      </c>
      <c r="N28" s="68">
        <v>363</v>
      </c>
      <c r="O28" s="68">
        <v>363</v>
      </c>
      <c r="P28" s="68">
        <v>363</v>
      </c>
      <c r="Q28" s="109"/>
      <c r="R28" s="101"/>
      <c r="S28" s="101"/>
    </row>
    <row r="29" spans="1:22" ht="42" customHeight="1" x14ac:dyDescent="0.25">
      <c r="A29" s="155"/>
      <c r="B29" s="155"/>
      <c r="C29" s="156"/>
      <c r="D29" s="157"/>
      <c r="E29" s="63" t="s">
        <v>234</v>
      </c>
      <c r="F29" s="64" t="s">
        <v>235</v>
      </c>
      <c r="G29" s="65">
        <v>0</v>
      </c>
      <c r="H29" s="65">
        <v>22917.311000000002</v>
      </c>
      <c r="I29" s="65">
        <v>33926.1</v>
      </c>
      <c r="J29" s="65">
        <f>353/4725*331115.95272</f>
        <v>24737.339959822224</v>
      </c>
      <c r="K29" s="65">
        <v>27445.555</v>
      </c>
      <c r="L29" s="65">
        <v>25290.1</v>
      </c>
      <c r="M29" s="65">
        <v>27998.134999999998</v>
      </c>
      <c r="N29" s="65">
        <v>27907.598999999998</v>
      </c>
      <c r="O29" s="65">
        <f>N29*1.04</f>
        <v>29023.902959999999</v>
      </c>
      <c r="P29" s="65">
        <f>O29*1.04</f>
        <v>30184.859078400001</v>
      </c>
      <c r="Q29" s="86"/>
      <c r="R29" s="101"/>
      <c r="S29" s="101"/>
    </row>
    <row r="30" spans="1:22" ht="13.5" customHeight="1" x14ac:dyDescent="0.25">
      <c r="A30" s="155" t="s">
        <v>68</v>
      </c>
      <c r="B30" s="155" t="s">
        <v>70</v>
      </c>
      <c r="C30" s="156" t="s">
        <v>25</v>
      </c>
      <c r="D30" s="157" t="s">
        <v>236</v>
      </c>
      <c r="E30" s="63" t="s">
        <v>232</v>
      </c>
      <c r="F30" s="64" t="s">
        <v>233</v>
      </c>
      <c r="G30" s="68">
        <v>152</v>
      </c>
      <c r="H30" s="68">
        <v>152</v>
      </c>
      <c r="I30" s="68">
        <v>155</v>
      </c>
      <c r="J30" s="68">
        <v>155</v>
      </c>
      <c r="K30" s="68">
        <v>152</v>
      </c>
      <c r="L30" s="68">
        <v>138</v>
      </c>
      <c r="M30" s="68">
        <v>138</v>
      </c>
      <c r="N30" s="68">
        <v>132</v>
      </c>
      <c r="O30" s="68">
        <v>132</v>
      </c>
      <c r="P30" s="68">
        <v>132</v>
      </c>
      <c r="Q30" s="101"/>
      <c r="R30" s="101"/>
      <c r="S30" s="101"/>
    </row>
    <row r="31" spans="1:22" ht="42" customHeight="1" x14ac:dyDescent="0.25">
      <c r="A31" s="155"/>
      <c r="B31" s="155"/>
      <c r="C31" s="156"/>
      <c r="D31" s="157"/>
      <c r="E31" s="63" t="s">
        <v>234</v>
      </c>
      <c r="F31" s="64" t="s">
        <v>235</v>
      </c>
      <c r="G31" s="65">
        <v>0</v>
      </c>
      <c r="H31" s="65">
        <v>10587.937</v>
      </c>
      <c r="I31" s="65">
        <v>10639.4</v>
      </c>
      <c r="J31" s="65">
        <f>155/4725*331115.95272</f>
        <v>10862.00479822222</v>
      </c>
      <c r="K31" s="65">
        <v>11885.254000000001</v>
      </c>
      <c r="L31" s="65">
        <v>10672.9</v>
      </c>
      <c r="M31" s="82">
        <v>10762.513999999999</v>
      </c>
      <c r="N31" s="88">
        <v>10148.218000000001</v>
      </c>
      <c r="O31" s="91">
        <f>N31*1.04</f>
        <v>10554.146720000001</v>
      </c>
      <c r="P31" s="91">
        <f>O31*1.04</f>
        <v>10976.312588800001</v>
      </c>
      <c r="Q31" s="86"/>
      <c r="R31" s="101"/>
      <c r="S31" s="101"/>
    </row>
    <row r="32" spans="1:22" ht="13.5" customHeight="1" x14ac:dyDescent="0.25">
      <c r="A32" s="155" t="s">
        <v>68</v>
      </c>
      <c r="B32" s="155" t="s">
        <v>70</v>
      </c>
      <c r="C32" s="156" t="s">
        <v>25</v>
      </c>
      <c r="D32" s="157" t="s">
        <v>251</v>
      </c>
      <c r="E32" s="63" t="s">
        <v>232</v>
      </c>
      <c r="F32" s="64" t="s">
        <v>233</v>
      </c>
      <c r="G32" s="68">
        <v>152</v>
      </c>
      <c r="H32" s="68">
        <v>152</v>
      </c>
      <c r="I32" s="68">
        <v>155</v>
      </c>
      <c r="J32" s="68">
        <v>155</v>
      </c>
      <c r="K32" s="68">
        <v>152</v>
      </c>
      <c r="L32" s="68">
        <v>138</v>
      </c>
      <c r="M32" s="68">
        <v>138</v>
      </c>
      <c r="N32" s="68">
        <v>132</v>
      </c>
      <c r="O32" s="68">
        <v>132</v>
      </c>
      <c r="P32" s="68">
        <v>132</v>
      </c>
      <c r="Q32" s="101"/>
      <c r="R32" s="101"/>
      <c r="S32" s="101"/>
    </row>
    <row r="33" spans="1:19" ht="45.75" customHeight="1" x14ac:dyDescent="0.25">
      <c r="A33" s="155"/>
      <c r="B33" s="155"/>
      <c r="C33" s="156"/>
      <c r="D33" s="157"/>
      <c r="E33" s="63" t="s">
        <v>234</v>
      </c>
      <c r="F33" s="64" t="s">
        <v>235</v>
      </c>
      <c r="G33" s="65">
        <v>0</v>
      </c>
      <c r="H33" s="65">
        <v>0</v>
      </c>
      <c r="I33" s="65">
        <v>0</v>
      </c>
      <c r="J33" s="65">
        <f>155/4725*331115.95272</f>
        <v>10862.00479822222</v>
      </c>
      <c r="K33" s="65">
        <v>11885.254000000001</v>
      </c>
      <c r="L33" s="65">
        <v>10672.9</v>
      </c>
      <c r="M33" s="82">
        <v>10762.513999999999</v>
      </c>
      <c r="N33" s="88">
        <v>10148.218000000001</v>
      </c>
      <c r="O33" s="91">
        <f>N33*1.04</f>
        <v>10554.146720000001</v>
      </c>
      <c r="P33" s="91">
        <f>O33*1.04</f>
        <v>10976.312588800001</v>
      </c>
      <c r="Q33" s="86"/>
      <c r="R33" s="101"/>
      <c r="S33" s="101"/>
    </row>
    <row r="34" spans="1:19" ht="22.5" customHeight="1" x14ac:dyDescent="0.25">
      <c r="A34" s="25" t="s">
        <v>68</v>
      </c>
      <c r="B34" s="66">
        <v>3</v>
      </c>
      <c r="C34" s="111"/>
      <c r="D34" s="159" t="s">
        <v>268</v>
      </c>
      <c r="E34" s="160"/>
      <c r="F34" s="160"/>
      <c r="G34" s="160"/>
      <c r="H34" s="160"/>
      <c r="I34" s="160"/>
      <c r="J34" s="160"/>
      <c r="K34" s="160"/>
      <c r="L34" s="67"/>
      <c r="M34" s="67"/>
      <c r="N34" s="89"/>
      <c r="O34" s="92"/>
      <c r="P34" s="87"/>
      <c r="Q34" s="109"/>
      <c r="R34" s="109"/>
      <c r="S34" s="101"/>
    </row>
    <row r="35" spans="1:19" ht="12.75" customHeight="1" x14ac:dyDescent="0.25">
      <c r="A35" s="155" t="s">
        <v>68</v>
      </c>
      <c r="B35" s="155" t="s">
        <v>71</v>
      </c>
      <c r="C35" s="156" t="s">
        <v>25</v>
      </c>
      <c r="D35" s="157" t="s">
        <v>241</v>
      </c>
      <c r="E35" s="63" t="s">
        <v>232</v>
      </c>
      <c r="F35" s="64" t="s">
        <v>233</v>
      </c>
      <c r="G35" s="68">
        <v>3632</v>
      </c>
      <c r="H35" s="68">
        <v>0</v>
      </c>
      <c r="I35" s="68">
        <v>0</v>
      </c>
      <c r="J35" s="68">
        <v>0</v>
      </c>
      <c r="K35" s="68">
        <f>J35</f>
        <v>0</v>
      </c>
      <c r="L35" s="68">
        <f>J35</f>
        <v>0</v>
      </c>
      <c r="M35" s="83">
        <f>K35</f>
        <v>0</v>
      </c>
      <c r="N35" s="90"/>
      <c r="O35" s="93"/>
      <c r="P35" s="93"/>
      <c r="Q35" s="101"/>
      <c r="R35" s="101"/>
      <c r="S35" s="101"/>
    </row>
    <row r="36" spans="1:19" ht="26.25" customHeight="1" x14ac:dyDescent="0.25">
      <c r="A36" s="155"/>
      <c r="B36" s="155"/>
      <c r="C36" s="156"/>
      <c r="D36" s="157"/>
      <c r="E36" s="63" t="s">
        <v>234</v>
      </c>
      <c r="F36" s="64" t="s">
        <v>235</v>
      </c>
      <c r="G36" s="65">
        <f>120.03+34071.77674</f>
        <v>34191.80674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82">
        <v>0</v>
      </c>
      <c r="N36" s="88"/>
      <c r="O36" s="91"/>
      <c r="P36" s="91"/>
      <c r="Q36" s="101"/>
      <c r="R36" s="101"/>
      <c r="S36" s="101"/>
    </row>
    <row r="37" spans="1:19" ht="12.75" customHeight="1" x14ac:dyDescent="0.25">
      <c r="A37" s="155" t="s">
        <v>68</v>
      </c>
      <c r="B37" s="155" t="s">
        <v>71</v>
      </c>
      <c r="C37" s="156" t="s">
        <v>25</v>
      </c>
      <c r="D37" s="157" t="s">
        <v>242</v>
      </c>
      <c r="E37" s="63" t="s">
        <v>232</v>
      </c>
      <c r="F37" s="64" t="s">
        <v>233</v>
      </c>
      <c r="G37" s="68">
        <v>0</v>
      </c>
      <c r="H37" s="68">
        <v>3717</v>
      </c>
      <c r="I37" s="68">
        <v>3538</v>
      </c>
      <c r="J37" s="68">
        <v>0</v>
      </c>
      <c r="K37" s="68">
        <v>0</v>
      </c>
      <c r="L37" s="68">
        <v>0</v>
      </c>
      <c r="M37" s="83">
        <v>0</v>
      </c>
      <c r="N37" s="90"/>
      <c r="O37" s="93"/>
      <c r="P37" s="93"/>
      <c r="Q37" s="101"/>
      <c r="R37" s="101"/>
      <c r="S37" s="101"/>
    </row>
    <row r="38" spans="1:19" ht="26.25" customHeight="1" x14ac:dyDescent="0.25">
      <c r="A38" s="155"/>
      <c r="B38" s="155"/>
      <c r="C38" s="156"/>
      <c r="D38" s="157"/>
      <c r="E38" s="63" t="s">
        <v>234</v>
      </c>
      <c r="F38" s="64" t="s">
        <v>235</v>
      </c>
      <c r="G38" s="65">
        <v>0</v>
      </c>
      <c r="H38" s="65">
        <v>36381.548540000003</v>
      </c>
      <c r="I38" s="65">
        <v>41468.400000000001</v>
      </c>
      <c r="J38" s="65">
        <v>0</v>
      </c>
      <c r="K38" s="65">
        <v>0</v>
      </c>
      <c r="L38" s="65">
        <v>0</v>
      </c>
      <c r="M38" s="82">
        <v>0</v>
      </c>
      <c r="N38" s="88"/>
      <c r="O38" s="91"/>
      <c r="P38" s="91"/>
      <c r="Q38" s="101"/>
      <c r="R38" s="101"/>
      <c r="S38" s="101"/>
    </row>
    <row r="39" spans="1:19" ht="12.75" customHeight="1" x14ac:dyDescent="0.25">
      <c r="A39" s="155" t="s">
        <v>68</v>
      </c>
      <c r="B39" s="155" t="s">
        <v>71</v>
      </c>
      <c r="C39" s="156" t="s">
        <v>25</v>
      </c>
      <c r="D39" s="157" t="s">
        <v>242</v>
      </c>
      <c r="E39" s="63" t="s">
        <v>232</v>
      </c>
      <c r="F39" s="64" t="s">
        <v>250</v>
      </c>
      <c r="G39" s="68">
        <v>0</v>
      </c>
      <c r="H39" s="68">
        <v>0</v>
      </c>
      <c r="I39" s="68">
        <v>0</v>
      </c>
      <c r="J39" s="68">
        <v>1034246</v>
      </c>
      <c r="K39" s="68">
        <v>666838</v>
      </c>
      <c r="L39" s="68">
        <v>559051</v>
      </c>
      <c r="M39" s="68">
        <v>607366</v>
      </c>
      <c r="N39" s="68">
        <v>607366</v>
      </c>
      <c r="O39" s="68">
        <v>607366</v>
      </c>
      <c r="P39" s="68">
        <v>607366</v>
      </c>
      <c r="Q39" s="101"/>
      <c r="R39" s="101"/>
      <c r="S39" s="101"/>
    </row>
    <row r="40" spans="1:19" ht="26.25" customHeight="1" x14ac:dyDescent="0.25">
      <c r="A40" s="155"/>
      <c r="B40" s="155"/>
      <c r="C40" s="156"/>
      <c r="D40" s="157"/>
      <c r="E40" s="63" t="s">
        <v>234</v>
      </c>
      <c r="F40" s="64" t="s">
        <v>235</v>
      </c>
      <c r="G40" s="65">
        <v>0</v>
      </c>
      <c r="H40" s="65">
        <v>0</v>
      </c>
      <c r="I40" s="65">
        <v>0</v>
      </c>
      <c r="J40" s="65">
        <v>40264.271460000004</v>
      </c>
      <c r="K40" s="65">
        <v>41013.179880000003</v>
      </c>
      <c r="L40" s="65">
        <v>38092.400000000001</v>
      </c>
      <c r="M40" s="82">
        <v>39659.9</v>
      </c>
      <c r="N40" s="88">
        <v>41134.400000000001</v>
      </c>
      <c r="O40" s="91">
        <v>42779.8</v>
      </c>
      <c r="P40" s="91">
        <v>44491</v>
      </c>
      <c r="Q40" s="101"/>
      <c r="R40" s="101"/>
      <c r="S40" s="101"/>
    </row>
    <row r="41" spans="1:19" ht="12.75" customHeight="1" x14ac:dyDescent="0.25">
      <c r="A41" s="155" t="s">
        <v>68</v>
      </c>
      <c r="B41" s="155" t="s">
        <v>71</v>
      </c>
      <c r="C41" s="156" t="s">
        <v>26</v>
      </c>
      <c r="D41" s="157" t="s">
        <v>243</v>
      </c>
      <c r="E41" s="63" t="s">
        <v>232</v>
      </c>
      <c r="F41" s="64" t="s">
        <v>283</v>
      </c>
      <c r="G41" s="68">
        <v>630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83">
        <v>0</v>
      </c>
      <c r="N41" s="90"/>
      <c r="O41" s="93"/>
      <c r="P41" s="93"/>
      <c r="Q41" s="101"/>
      <c r="R41" s="101"/>
      <c r="S41" s="101"/>
    </row>
    <row r="42" spans="1:19" ht="26.25" customHeight="1" x14ac:dyDescent="0.25">
      <c r="A42" s="155"/>
      <c r="B42" s="155"/>
      <c r="C42" s="156"/>
      <c r="D42" s="157"/>
      <c r="E42" s="63" t="s">
        <v>234</v>
      </c>
      <c r="F42" s="64" t="s">
        <v>235</v>
      </c>
      <c r="G42" s="65">
        <f>4.128+19113.9867599999</f>
        <v>19118.11476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82">
        <v>0</v>
      </c>
      <c r="N42" s="88"/>
      <c r="O42" s="91"/>
      <c r="P42" s="91"/>
      <c r="Q42" s="101"/>
      <c r="R42" s="101"/>
      <c r="S42" s="101"/>
    </row>
    <row r="43" spans="1:19" ht="12.75" customHeight="1" x14ac:dyDescent="0.25">
      <c r="A43" s="155" t="s">
        <v>68</v>
      </c>
      <c r="B43" s="155" t="s">
        <v>71</v>
      </c>
      <c r="C43" s="156" t="s">
        <v>26</v>
      </c>
      <c r="D43" s="157" t="s">
        <v>244</v>
      </c>
      <c r="E43" s="63" t="s">
        <v>232</v>
      </c>
      <c r="F43" s="64" t="s">
        <v>283</v>
      </c>
      <c r="G43" s="68">
        <v>0</v>
      </c>
      <c r="H43" s="68">
        <v>37</v>
      </c>
      <c r="I43" s="68">
        <v>46</v>
      </c>
      <c r="J43" s="68">
        <v>54</v>
      </c>
      <c r="K43" s="68">
        <v>14001</v>
      </c>
      <c r="L43" s="68">
        <v>15326</v>
      </c>
      <c r="M43" s="68">
        <v>15326</v>
      </c>
      <c r="N43" s="68">
        <v>15326</v>
      </c>
      <c r="O43" s="68">
        <v>15326</v>
      </c>
      <c r="P43" s="68">
        <v>15326</v>
      </c>
      <c r="Q43" s="101"/>
      <c r="R43" s="101"/>
      <c r="S43" s="101"/>
    </row>
    <row r="44" spans="1:19" ht="48" customHeight="1" x14ac:dyDescent="0.25">
      <c r="A44" s="155"/>
      <c r="B44" s="155"/>
      <c r="C44" s="156"/>
      <c r="D44" s="157"/>
      <c r="E44" s="63" t="s">
        <v>234</v>
      </c>
      <c r="F44" s="64" t="s">
        <v>235</v>
      </c>
      <c r="G44" s="65">
        <v>0</v>
      </c>
      <c r="H44" s="65">
        <v>1117.4000000000001</v>
      </c>
      <c r="I44" s="65">
        <v>1500.9</v>
      </c>
      <c r="J44" s="65">
        <v>1939.8</v>
      </c>
      <c r="K44" s="65">
        <v>4065.1</v>
      </c>
      <c r="L44" s="65">
        <v>4350.6000000000004</v>
      </c>
      <c r="M44" s="82">
        <v>4621.3999999999996</v>
      </c>
      <c r="N44" s="88">
        <v>4809.7</v>
      </c>
      <c r="O44" s="91">
        <v>5002.1000000000004</v>
      </c>
      <c r="P44" s="91">
        <v>5202.2</v>
      </c>
      <c r="Q44" s="101"/>
      <c r="R44" s="109"/>
      <c r="S44" s="101"/>
    </row>
    <row r="45" spans="1:19" ht="12.75" customHeight="1" x14ac:dyDescent="0.25">
      <c r="A45" s="155" t="s">
        <v>68</v>
      </c>
      <c r="B45" s="155" t="s">
        <v>71</v>
      </c>
      <c r="C45" s="156" t="s">
        <v>26</v>
      </c>
      <c r="D45" s="157" t="s">
        <v>245</v>
      </c>
      <c r="E45" s="63" t="s">
        <v>232</v>
      </c>
      <c r="F45" s="64" t="s">
        <v>283</v>
      </c>
      <c r="G45" s="68">
        <v>0</v>
      </c>
      <c r="H45" s="68">
        <v>22</v>
      </c>
      <c r="I45" s="68">
        <v>23</v>
      </c>
      <c r="J45" s="68">
        <v>26</v>
      </c>
      <c r="K45" s="68">
        <v>7144</v>
      </c>
      <c r="L45" s="68">
        <v>8525</v>
      </c>
      <c r="M45" s="68">
        <v>8525</v>
      </c>
      <c r="N45" s="68">
        <v>8525</v>
      </c>
      <c r="O45" s="68">
        <v>8525</v>
      </c>
      <c r="P45" s="68">
        <v>8525</v>
      </c>
      <c r="Q45" s="101"/>
      <c r="R45" s="101"/>
      <c r="S45" s="101"/>
    </row>
    <row r="46" spans="1:19" ht="51" customHeight="1" x14ac:dyDescent="0.25">
      <c r="A46" s="155"/>
      <c r="B46" s="155"/>
      <c r="C46" s="156"/>
      <c r="D46" s="157"/>
      <c r="E46" s="63" t="s">
        <v>234</v>
      </c>
      <c r="F46" s="64" t="s">
        <v>235</v>
      </c>
      <c r="G46" s="65">
        <v>0</v>
      </c>
      <c r="H46" s="65">
        <v>665.5</v>
      </c>
      <c r="I46" s="65">
        <v>750.5</v>
      </c>
      <c r="J46" s="65">
        <v>942.9</v>
      </c>
      <c r="K46" s="65">
        <v>2852.4</v>
      </c>
      <c r="L46" s="65">
        <v>3057.2</v>
      </c>
      <c r="M46" s="82">
        <v>3247.5</v>
      </c>
      <c r="N46" s="88">
        <v>3380</v>
      </c>
      <c r="O46" s="91">
        <v>3515.2</v>
      </c>
      <c r="P46" s="91">
        <v>3655.8</v>
      </c>
      <c r="Q46" s="101"/>
      <c r="R46" s="101"/>
      <c r="S46" s="101"/>
    </row>
    <row r="47" spans="1:19" ht="12.75" customHeight="1" x14ac:dyDescent="0.25">
      <c r="A47" s="155" t="s">
        <v>68</v>
      </c>
      <c r="B47" s="155" t="s">
        <v>71</v>
      </c>
      <c r="C47" s="156" t="s">
        <v>26</v>
      </c>
      <c r="D47" s="157" t="s">
        <v>246</v>
      </c>
      <c r="E47" s="63" t="s">
        <v>232</v>
      </c>
      <c r="F47" s="64" t="s">
        <v>283</v>
      </c>
      <c r="G47" s="68">
        <v>0</v>
      </c>
      <c r="H47" s="68">
        <v>118</v>
      </c>
      <c r="I47" s="68">
        <v>152</v>
      </c>
      <c r="J47" s="68">
        <v>196</v>
      </c>
      <c r="K47" s="68">
        <v>88514</v>
      </c>
      <c r="L47" s="68">
        <v>97023</v>
      </c>
      <c r="M47" s="68">
        <v>97023</v>
      </c>
      <c r="N47" s="68">
        <v>97023</v>
      </c>
      <c r="O47" s="68">
        <v>97023</v>
      </c>
      <c r="P47" s="68">
        <v>97023</v>
      </c>
      <c r="Q47" s="101"/>
      <c r="R47" s="101"/>
      <c r="S47" s="101"/>
    </row>
    <row r="48" spans="1:19" ht="50.25" customHeight="1" x14ac:dyDescent="0.25">
      <c r="A48" s="155"/>
      <c r="B48" s="155"/>
      <c r="C48" s="156"/>
      <c r="D48" s="157"/>
      <c r="E48" s="63" t="s">
        <v>234</v>
      </c>
      <c r="F48" s="64" t="s">
        <v>235</v>
      </c>
      <c r="G48" s="65">
        <v>0</v>
      </c>
      <c r="H48" s="65">
        <v>3565.9</v>
      </c>
      <c r="I48" s="65">
        <v>4961.2</v>
      </c>
      <c r="J48" s="65">
        <v>6859</v>
      </c>
      <c r="K48" s="65">
        <v>5866.6</v>
      </c>
      <c r="L48" s="65">
        <v>6256.7</v>
      </c>
      <c r="M48" s="82">
        <v>6646</v>
      </c>
      <c r="N48" s="88">
        <v>6916</v>
      </c>
      <c r="O48" s="91">
        <v>7192.6</v>
      </c>
      <c r="P48" s="91">
        <v>7480.3</v>
      </c>
      <c r="Q48" s="101"/>
      <c r="R48" s="101"/>
      <c r="S48" s="101"/>
    </row>
    <row r="49" spans="1:19" ht="12.75" customHeight="1" x14ac:dyDescent="0.25">
      <c r="A49" s="155" t="s">
        <v>68</v>
      </c>
      <c r="B49" s="155" t="s">
        <v>71</v>
      </c>
      <c r="C49" s="156" t="s">
        <v>26</v>
      </c>
      <c r="D49" s="157" t="s">
        <v>247</v>
      </c>
      <c r="E49" s="63" t="s">
        <v>232</v>
      </c>
      <c r="F49" s="64" t="s">
        <v>283</v>
      </c>
      <c r="G49" s="68">
        <v>0</v>
      </c>
      <c r="H49" s="68">
        <v>10</v>
      </c>
      <c r="I49" s="68">
        <v>10</v>
      </c>
      <c r="J49" s="68">
        <v>10</v>
      </c>
      <c r="K49" s="68">
        <v>3449</v>
      </c>
      <c r="L49" s="68">
        <v>3664</v>
      </c>
      <c r="M49" s="68">
        <v>3664</v>
      </c>
      <c r="N49" s="68">
        <v>3664</v>
      </c>
      <c r="O49" s="68">
        <v>3664</v>
      </c>
      <c r="P49" s="68">
        <v>3664</v>
      </c>
      <c r="Q49" s="101"/>
      <c r="R49" s="101"/>
      <c r="S49" s="101"/>
    </row>
    <row r="50" spans="1:19" ht="48.75" customHeight="1" x14ac:dyDescent="0.25">
      <c r="A50" s="155"/>
      <c r="B50" s="155"/>
      <c r="C50" s="156"/>
      <c r="D50" s="157"/>
      <c r="E50" s="63" t="s">
        <v>234</v>
      </c>
      <c r="F50" s="64" t="s">
        <v>235</v>
      </c>
      <c r="G50" s="65">
        <v>0</v>
      </c>
      <c r="H50" s="65">
        <v>303.2</v>
      </c>
      <c r="I50" s="65">
        <v>326.89999999999998</v>
      </c>
      <c r="J50" s="65">
        <v>406</v>
      </c>
      <c r="K50" s="65">
        <v>1352.4</v>
      </c>
      <c r="L50" s="65">
        <v>1457.3</v>
      </c>
      <c r="M50" s="82">
        <v>1548</v>
      </c>
      <c r="N50" s="88">
        <v>1611.4</v>
      </c>
      <c r="O50" s="91">
        <v>1675.8</v>
      </c>
      <c r="P50" s="91">
        <v>1742.8</v>
      </c>
      <c r="Q50" s="101"/>
      <c r="R50" s="101"/>
      <c r="S50" s="101"/>
    </row>
    <row r="51" spans="1:19" ht="12.75" customHeight="1" x14ac:dyDescent="0.25">
      <c r="A51" s="155" t="s">
        <v>68</v>
      </c>
      <c r="B51" s="155" t="s">
        <v>71</v>
      </c>
      <c r="C51" s="156" t="s">
        <v>26</v>
      </c>
      <c r="D51" s="157" t="s">
        <v>248</v>
      </c>
      <c r="E51" s="63" t="s">
        <v>232</v>
      </c>
      <c r="F51" s="64" t="s">
        <v>283</v>
      </c>
      <c r="G51" s="68">
        <v>0</v>
      </c>
      <c r="H51" s="68">
        <v>38</v>
      </c>
      <c r="I51" s="68">
        <v>36</v>
      </c>
      <c r="J51" s="68">
        <v>48</v>
      </c>
      <c r="K51" s="68">
        <v>20745</v>
      </c>
      <c r="L51" s="68">
        <v>25076</v>
      </c>
      <c r="M51" s="68">
        <v>25076</v>
      </c>
      <c r="N51" s="68">
        <v>25076</v>
      </c>
      <c r="O51" s="68">
        <v>25076</v>
      </c>
      <c r="P51" s="68">
        <v>25076</v>
      </c>
      <c r="Q51" s="101"/>
      <c r="R51" s="101"/>
      <c r="S51" s="101"/>
    </row>
    <row r="52" spans="1:19" ht="49.5" customHeight="1" x14ac:dyDescent="0.25">
      <c r="A52" s="155"/>
      <c r="B52" s="155"/>
      <c r="C52" s="156"/>
      <c r="D52" s="157"/>
      <c r="E52" s="63" t="s">
        <v>234</v>
      </c>
      <c r="F52" s="64" t="s">
        <v>235</v>
      </c>
      <c r="G52" s="65">
        <v>0</v>
      </c>
      <c r="H52" s="65">
        <v>1147.9000000000001</v>
      </c>
      <c r="I52" s="65">
        <v>1174</v>
      </c>
      <c r="J52" s="65">
        <v>1610.6</v>
      </c>
      <c r="K52" s="65">
        <v>2082.1</v>
      </c>
      <c r="L52" s="65">
        <v>2213</v>
      </c>
      <c r="M52" s="82">
        <v>2350.6999999999998</v>
      </c>
      <c r="N52" s="88">
        <v>2445.9</v>
      </c>
      <c r="O52" s="91">
        <v>2543.75</v>
      </c>
      <c r="P52" s="91">
        <v>2645.5</v>
      </c>
      <c r="Q52" s="101"/>
      <c r="R52" s="101"/>
      <c r="S52" s="101"/>
    </row>
    <row r="53" spans="1:19" ht="12.75" customHeight="1" x14ac:dyDescent="0.25">
      <c r="A53" s="155" t="s">
        <v>68</v>
      </c>
      <c r="B53" s="155" t="s">
        <v>71</v>
      </c>
      <c r="C53" s="156" t="s">
        <v>26</v>
      </c>
      <c r="D53" s="157" t="s">
        <v>249</v>
      </c>
      <c r="E53" s="63" t="s">
        <v>232</v>
      </c>
      <c r="F53" s="64" t="s">
        <v>283</v>
      </c>
      <c r="G53" s="68">
        <v>0</v>
      </c>
      <c r="H53" s="68">
        <v>406</v>
      </c>
      <c r="I53" s="68">
        <v>363</v>
      </c>
      <c r="J53" s="68">
        <v>296</v>
      </c>
      <c r="K53" s="68">
        <v>35538</v>
      </c>
      <c r="L53" s="68">
        <v>19824</v>
      </c>
      <c r="M53" s="68">
        <v>19824</v>
      </c>
      <c r="N53" s="68">
        <v>19824</v>
      </c>
      <c r="O53" s="68">
        <v>19824</v>
      </c>
      <c r="P53" s="68">
        <v>19824</v>
      </c>
      <c r="Q53" s="101"/>
      <c r="R53" s="101"/>
      <c r="S53" s="101"/>
    </row>
    <row r="54" spans="1:19" ht="54" customHeight="1" x14ac:dyDescent="0.25">
      <c r="A54" s="155"/>
      <c r="B54" s="155"/>
      <c r="C54" s="156"/>
      <c r="D54" s="158"/>
      <c r="E54" s="113" t="s">
        <v>234</v>
      </c>
      <c r="F54" s="114" t="s">
        <v>235</v>
      </c>
      <c r="G54" s="115">
        <v>0</v>
      </c>
      <c r="H54" s="115">
        <v>12268.9</v>
      </c>
      <c r="I54" s="115">
        <v>11847</v>
      </c>
      <c r="J54" s="115">
        <v>11144.9</v>
      </c>
      <c r="K54" s="115">
        <v>6458</v>
      </c>
      <c r="L54" s="115">
        <v>6909.3</v>
      </c>
      <c r="M54" s="116">
        <v>7339.4</v>
      </c>
      <c r="N54" s="88">
        <v>7638.3</v>
      </c>
      <c r="O54" s="91">
        <v>7943.82</v>
      </c>
      <c r="P54" s="91">
        <v>8261.5499999999993</v>
      </c>
      <c r="Q54" s="101"/>
      <c r="R54" s="101"/>
      <c r="S54" s="101"/>
    </row>
    <row r="56" spans="1:19" x14ac:dyDescent="0.25">
      <c r="H56" s="69"/>
      <c r="I56" s="69"/>
      <c r="J56" s="69"/>
      <c r="K56" s="69">
        <f t="shared" ref="K56:P57" si="0">K43+K45+K47+K49+K51+K53</f>
        <v>169391</v>
      </c>
      <c r="L56" s="69">
        <f t="shared" si="0"/>
        <v>169438</v>
      </c>
      <c r="M56" s="69">
        <f t="shared" si="0"/>
        <v>169438</v>
      </c>
      <c r="N56" s="69">
        <f t="shared" si="0"/>
        <v>169438</v>
      </c>
      <c r="O56" s="69">
        <f t="shared" si="0"/>
        <v>169438</v>
      </c>
      <c r="P56" s="69">
        <f t="shared" si="0"/>
        <v>169438</v>
      </c>
    </row>
    <row r="57" spans="1:19" x14ac:dyDescent="0.25">
      <c r="G57" s="70"/>
      <c r="H57" s="36"/>
      <c r="I57" s="36"/>
      <c r="J57" s="36"/>
      <c r="K57" s="36">
        <f t="shared" si="0"/>
        <v>22676.6</v>
      </c>
      <c r="L57" s="36">
        <f t="shared" si="0"/>
        <v>24244.1</v>
      </c>
      <c r="M57" s="36">
        <f t="shared" si="0"/>
        <v>25753</v>
      </c>
      <c r="N57" s="36">
        <f t="shared" si="0"/>
        <v>26801.300000000003</v>
      </c>
      <c r="O57" s="36">
        <f t="shared" si="0"/>
        <v>27873.27</v>
      </c>
      <c r="P57" s="36">
        <f t="shared" si="0"/>
        <v>28988.149999999998</v>
      </c>
    </row>
    <row r="58" spans="1:19" ht="14.25" hidden="1" customHeight="1" x14ac:dyDescent="0.25">
      <c r="A58" s="7" t="s">
        <v>68</v>
      </c>
      <c r="B58" s="60">
        <v>3</v>
      </c>
      <c r="C58" s="60"/>
      <c r="D58" s="152" t="s">
        <v>23</v>
      </c>
      <c r="E58" s="152"/>
      <c r="F58" s="152"/>
      <c r="G58" s="152"/>
      <c r="H58" s="152"/>
      <c r="I58" s="152"/>
      <c r="J58" s="152"/>
      <c r="K58" s="152"/>
      <c r="L58" s="67"/>
      <c r="M58" s="67"/>
      <c r="N58" s="67"/>
      <c r="O58" s="67"/>
      <c r="Q58" s="36"/>
      <c r="R58" s="36"/>
    </row>
    <row r="59" spans="1:19" ht="14.25" hidden="1" customHeight="1" x14ac:dyDescent="0.25">
      <c r="A59" s="153" t="s">
        <v>68</v>
      </c>
      <c r="B59" s="153" t="s">
        <v>71</v>
      </c>
      <c r="C59" s="153" t="s">
        <v>25</v>
      </c>
      <c r="D59" s="154" t="s">
        <v>27</v>
      </c>
      <c r="E59" s="71" t="s">
        <v>232</v>
      </c>
      <c r="F59" s="72" t="s">
        <v>233</v>
      </c>
      <c r="G59" s="73">
        <v>4120</v>
      </c>
      <c r="H59" s="73">
        <v>4120</v>
      </c>
      <c r="I59" s="73">
        <v>4120</v>
      </c>
      <c r="J59" s="73">
        <v>4120</v>
      </c>
      <c r="K59" s="73">
        <v>4120</v>
      </c>
      <c r="L59" s="73">
        <v>4120</v>
      </c>
      <c r="M59" s="73">
        <v>4120</v>
      </c>
      <c r="N59" s="85"/>
      <c r="O59" s="85"/>
    </row>
    <row r="60" spans="1:19" ht="14.25" hidden="1" customHeight="1" x14ac:dyDescent="0.25">
      <c r="A60" s="153"/>
      <c r="B60" s="153"/>
      <c r="C60" s="153"/>
      <c r="D60" s="154"/>
      <c r="E60" s="71" t="s">
        <v>234</v>
      </c>
      <c r="F60" s="72" t="s">
        <v>235</v>
      </c>
      <c r="G60" s="74">
        <v>5144.8</v>
      </c>
      <c r="H60" s="74">
        <v>5182.5</v>
      </c>
      <c r="I60" s="74">
        <v>5182.5</v>
      </c>
      <c r="J60" s="74">
        <v>5182.5</v>
      </c>
      <c r="K60" s="74">
        <v>5182.5</v>
      </c>
      <c r="L60" s="74">
        <v>5182.5</v>
      </c>
      <c r="M60" s="74">
        <v>5182.5</v>
      </c>
      <c r="N60" s="86"/>
      <c r="O60" s="86"/>
    </row>
    <row r="64" spans="1:19" x14ac:dyDescent="0.25">
      <c r="H64" s="36"/>
    </row>
  </sheetData>
  <mergeCells count="104">
    <mergeCell ref="G11:J11"/>
    <mergeCell ref="P12:P13"/>
    <mergeCell ref="Q12:Q13"/>
    <mergeCell ref="R12:R13"/>
    <mergeCell ref="N12:N13"/>
    <mergeCell ref="O12:O13"/>
    <mergeCell ref="K11:P11"/>
    <mergeCell ref="K12:K13"/>
    <mergeCell ref="L12:L13"/>
    <mergeCell ref="M12:M13"/>
    <mergeCell ref="A10:K10"/>
    <mergeCell ref="A12:B12"/>
    <mergeCell ref="C12:C13"/>
    <mergeCell ref="D12:D13"/>
    <mergeCell ref="E12:E13"/>
    <mergeCell ref="F12:F13"/>
    <mergeCell ref="G12:G13"/>
    <mergeCell ref="H12:H13"/>
    <mergeCell ref="I12:I13"/>
    <mergeCell ref="J12:J13"/>
    <mergeCell ref="D14:K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D21:K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D34:K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58:K58"/>
    <mergeCell ref="A59:A60"/>
    <mergeCell ref="B59:B60"/>
    <mergeCell ref="C59:C60"/>
    <mergeCell ref="D59:D60"/>
    <mergeCell ref="A51:A52"/>
    <mergeCell ref="B51:B52"/>
    <mergeCell ref="C51:C52"/>
    <mergeCell ref="D51:D52"/>
    <mergeCell ref="A53:A54"/>
  </mergeCells>
  <pageMargins left="8.3333333333333329E-2" right="8.4375000000000006E-3" top="0.78740157480314965" bottom="0.39370078740157483" header="0.51181102362204722" footer="0.51181102362204722"/>
  <pageSetup paperSize="9" scale="89" fitToHeight="0" orientation="landscape" horizontalDpi="0" verticalDpi="0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X198"/>
  <sheetViews>
    <sheetView topLeftCell="A176" zoomScaleNormal="100" workbookViewId="0">
      <selection activeCell="F197" sqref="F197"/>
    </sheetView>
  </sheetViews>
  <sheetFormatPr defaultRowHeight="15" x14ac:dyDescent="0.25"/>
  <cols>
    <col min="1" max="4" width="3.28515625" style="30" customWidth="1"/>
    <col min="5" max="5" width="16.28515625" style="30" customWidth="1"/>
    <col min="6" max="6" width="26" style="30" customWidth="1"/>
    <col min="7" max="7" width="4.7109375" style="30" customWidth="1"/>
    <col min="8" max="8" width="3.28515625" style="30" customWidth="1"/>
    <col min="9" max="9" width="3.42578125" style="30" customWidth="1"/>
    <col min="10" max="10" width="9.5703125" style="30" customWidth="1"/>
    <col min="11" max="11" width="8.140625" style="30" customWidth="1"/>
    <col min="12" max="16" width="9.7109375" style="30" hidden="1" customWidth="1"/>
    <col min="17" max="18" width="9.7109375" style="30" customWidth="1"/>
    <col min="19" max="19" width="13.28515625" style="118" customWidth="1"/>
    <col min="20" max="21" width="10.140625" style="118" bestFit="1" customWidth="1"/>
    <col min="22" max="22" width="9.5703125" style="30" customWidth="1"/>
    <col min="23" max="16384" width="9.140625" style="30"/>
  </cols>
  <sheetData>
    <row r="1" spans="1:21" ht="15.75" x14ac:dyDescent="0.25">
      <c r="O1" s="148" t="s">
        <v>315</v>
      </c>
    </row>
    <row r="2" spans="1:21" ht="15.75" x14ac:dyDescent="0.25">
      <c r="O2" s="148" t="s">
        <v>313</v>
      </c>
    </row>
    <row r="3" spans="1:21" ht="15.75" x14ac:dyDescent="0.25">
      <c r="O3" s="148" t="s">
        <v>314</v>
      </c>
    </row>
    <row r="4" spans="1:21" x14ac:dyDescent="0.25">
      <c r="A4" s="31"/>
      <c r="B4" s="31"/>
      <c r="C4" s="31"/>
      <c r="D4" s="31"/>
      <c r="E4" s="31"/>
      <c r="F4" s="31"/>
      <c r="J4" s="31"/>
      <c r="Q4" s="5" t="s">
        <v>1</v>
      </c>
    </row>
    <row r="5" spans="1:21" x14ac:dyDescent="0.25">
      <c r="A5" s="31"/>
      <c r="B5" s="31"/>
      <c r="C5" s="31"/>
      <c r="D5" s="31"/>
      <c r="E5" s="31"/>
      <c r="F5" s="31"/>
      <c r="J5" s="31"/>
      <c r="Q5" s="5" t="s">
        <v>58</v>
      </c>
    </row>
    <row r="6" spans="1:21" x14ac:dyDescent="0.25">
      <c r="A6" s="31"/>
      <c r="B6" s="31"/>
      <c r="C6" s="31"/>
      <c r="D6" s="31"/>
      <c r="E6" s="31"/>
      <c r="F6" s="51"/>
      <c r="J6" s="31"/>
      <c r="Q6" s="5" t="s">
        <v>274</v>
      </c>
    </row>
    <row r="7" spans="1:21" x14ac:dyDescent="0.25">
      <c r="A7" s="31"/>
      <c r="B7" s="31"/>
      <c r="C7" s="31"/>
      <c r="D7" s="31"/>
      <c r="E7" s="31"/>
      <c r="F7" s="31"/>
      <c r="J7" s="31"/>
      <c r="M7" s="32"/>
    </row>
    <row r="8" spans="1:21" x14ac:dyDescent="0.25">
      <c r="A8" s="31"/>
      <c r="B8" s="31"/>
      <c r="C8" s="31"/>
      <c r="D8" s="31"/>
      <c r="E8" s="31"/>
      <c r="F8" s="31"/>
      <c r="J8" s="31"/>
      <c r="M8" s="32"/>
    </row>
    <row r="9" spans="1:21" x14ac:dyDescent="0.25">
      <c r="A9" s="31"/>
      <c r="B9" s="31"/>
      <c r="C9" s="31"/>
      <c r="D9" s="31"/>
      <c r="E9" s="31"/>
      <c r="F9" s="31"/>
      <c r="G9" s="33"/>
      <c r="I9" s="31"/>
      <c r="J9" s="31"/>
      <c r="K9" s="31"/>
    </row>
    <row r="10" spans="1:21" ht="14.1" customHeight="1" x14ac:dyDescent="0.25">
      <c r="A10" s="1"/>
      <c r="B10" s="1"/>
      <c r="C10" s="1"/>
      <c r="D10" s="201" t="s">
        <v>124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</row>
    <row r="11" spans="1:21" ht="14.1" customHeight="1" x14ac:dyDescent="0.25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1" ht="32.25" customHeight="1" x14ac:dyDescent="0.25">
      <c r="A12" s="202" t="s">
        <v>59</v>
      </c>
      <c r="B12" s="202"/>
      <c r="C12" s="202"/>
      <c r="D12" s="202"/>
      <c r="E12" s="202" t="s">
        <v>28</v>
      </c>
      <c r="F12" s="202" t="s">
        <v>73</v>
      </c>
      <c r="G12" s="202" t="s">
        <v>29</v>
      </c>
      <c r="H12" s="202"/>
      <c r="I12" s="202"/>
      <c r="J12" s="202"/>
      <c r="K12" s="203"/>
      <c r="L12" s="204" t="s">
        <v>30</v>
      </c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1" ht="25.5" customHeight="1" x14ac:dyDescent="0.25">
      <c r="A13" s="3"/>
      <c r="B13" s="3"/>
      <c r="C13" s="3"/>
      <c r="D13" s="3"/>
      <c r="E13" s="202"/>
      <c r="F13" s="202"/>
      <c r="G13" s="3"/>
      <c r="H13" s="3"/>
      <c r="I13" s="3"/>
      <c r="J13" s="3"/>
      <c r="K13" s="79"/>
      <c r="L13" s="205" t="s">
        <v>281</v>
      </c>
      <c r="M13" s="206"/>
      <c r="N13" s="206"/>
      <c r="O13" s="207"/>
      <c r="P13" s="205" t="s">
        <v>282</v>
      </c>
      <c r="Q13" s="206"/>
      <c r="R13" s="206"/>
      <c r="S13" s="206"/>
      <c r="T13" s="206"/>
      <c r="U13" s="207"/>
    </row>
    <row r="14" spans="1:21" ht="20.25" customHeight="1" x14ac:dyDescent="0.25">
      <c r="A14" s="3" t="s">
        <v>66</v>
      </c>
      <c r="B14" s="3" t="s">
        <v>67</v>
      </c>
      <c r="C14" s="3" t="s">
        <v>74</v>
      </c>
      <c r="D14" s="3" t="s">
        <v>75</v>
      </c>
      <c r="E14" s="202" t="s">
        <v>22</v>
      </c>
      <c r="F14" s="202"/>
      <c r="G14" s="3" t="s">
        <v>24</v>
      </c>
      <c r="H14" s="3" t="s">
        <v>31</v>
      </c>
      <c r="I14" s="3" t="s">
        <v>32</v>
      </c>
      <c r="J14" s="3" t="s">
        <v>33</v>
      </c>
      <c r="K14" s="3" t="s">
        <v>34</v>
      </c>
      <c r="L14" s="78" t="s">
        <v>60</v>
      </c>
      <c r="M14" s="78" t="s">
        <v>61</v>
      </c>
      <c r="N14" s="78" t="s">
        <v>62</v>
      </c>
      <c r="O14" s="78" t="s">
        <v>63</v>
      </c>
      <c r="P14" s="78" t="s">
        <v>64</v>
      </c>
      <c r="Q14" s="78" t="s">
        <v>65</v>
      </c>
      <c r="R14" s="100" t="s">
        <v>260</v>
      </c>
      <c r="S14" s="119" t="s">
        <v>275</v>
      </c>
      <c r="T14" s="119" t="s">
        <v>276</v>
      </c>
      <c r="U14" s="120" t="s">
        <v>277</v>
      </c>
    </row>
    <row r="15" spans="1:21" ht="13.5" hidden="1" customHeight="1" x14ac:dyDescent="0.25">
      <c r="A15" s="3"/>
      <c r="B15" s="3"/>
      <c r="C15" s="3"/>
      <c r="D15" s="3"/>
      <c r="E15" s="8" t="s">
        <v>35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79"/>
      <c r="S15" s="121"/>
      <c r="T15" s="121"/>
      <c r="U15" s="121"/>
    </row>
    <row r="16" spans="1:21" ht="13.5" customHeight="1" x14ac:dyDescent="0.25">
      <c r="A16" s="3"/>
      <c r="B16" s="3"/>
      <c r="C16" s="3"/>
      <c r="D16" s="3"/>
      <c r="E16" s="8"/>
      <c r="F16" s="3"/>
      <c r="G16" s="3"/>
      <c r="H16" s="3"/>
      <c r="I16" s="3"/>
      <c r="J16" s="3"/>
      <c r="K16" s="3"/>
      <c r="L16" s="9"/>
      <c r="M16" s="9"/>
      <c r="N16" s="9"/>
      <c r="O16" s="9"/>
      <c r="P16" s="9"/>
      <c r="Q16" s="9"/>
      <c r="R16" s="94"/>
      <c r="S16" s="121"/>
      <c r="T16" s="121"/>
      <c r="U16" s="121"/>
    </row>
    <row r="17" spans="1:24" s="34" customFormat="1" ht="12.95" customHeight="1" x14ac:dyDescent="0.25">
      <c r="A17" s="199" t="s">
        <v>68</v>
      </c>
      <c r="B17" s="199"/>
      <c r="C17" s="199"/>
      <c r="D17" s="199"/>
      <c r="E17" s="200" t="s">
        <v>272</v>
      </c>
      <c r="F17" s="21" t="s">
        <v>36</v>
      </c>
      <c r="G17" s="28"/>
      <c r="H17" s="28"/>
      <c r="I17" s="28"/>
      <c r="J17" s="28"/>
      <c r="K17" s="28"/>
      <c r="L17" s="41">
        <f t="shared" ref="L17:R17" si="0">L18+L19+L20</f>
        <v>643293.8358</v>
      </c>
      <c r="M17" s="41">
        <f>M18+M19+M20</f>
        <v>659265.71230999997</v>
      </c>
      <c r="N17" s="41">
        <f>N18+N19+N20</f>
        <v>683433.62747000006</v>
      </c>
      <c r="O17" s="41">
        <f t="shared" si="0"/>
        <v>952828.73764000018</v>
      </c>
      <c r="P17" s="41">
        <f t="shared" si="0"/>
        <v>953256.48022000003</v>
      </c>
      <c r="Q17" s="41">
        <f>Q18+Q19+Q20</f>
        <v>843198.85061000008</v>
      </c>
      <c r="R17" s="95">
        <f t="shared" si="0"/>
        <v>809901</v>
      </c>
      <c r="S17" s="122">
        <f>S18+S19+S20</f>
        <v>804030.8</v>
      </c>
      <c r="T17" s="122">
        <f>T18+T19+T20</f>
        <v>836191.67999999993</v>
      </c>
      <c r="U17" s="122">
        <f>U18+U19+U20</f>
        <v>869639.29999999993</v>
      </c>
      <c r="V17" s="35"/>
      <c r="W17" s="35"/>
      <c r="X17" s="35"/>
    </row>
    <row r="18" spans="1:24" s="34" customFormat="1" ht="31.5" x14ac:dyDescent="0.25">
      <c r="A18" s="199"/>
      <c r="B18" s="199"/>
      <c r="C18" s="199"/>
      <c r="D18" s="199"/>
      <c r="E18" s="200"/>
      <c r="F18" s="22" t="s">
        <v>37</v>
      </c>
      <c r="G18" s="28" t="s">
        <v>25</v>
      </c>
      <c r="H18" s="28"/>
      <c r="I18" s="28"/>
      <c r="J18" s="28"/>
      <c r="K18" s="28"/>
      <c r="L18" s="41">
        <f t="shared" ref="L18:R18" si="1">L23+L63+L121+L155+L180</f>
        <v>617190.53032999998</v>
      </c>
      <c r="M18" s="41">
        <f t="shared" si="1"/>
        <v>629351.32905000006</v>
      </c>
      <c r="N18" s="41">
        <f t="shared" si="1"/>
        <v>655638.16500000004</v>
      </c>
      <c r="O18" s="41">
        <f t="shared" si="1"/>
        <v>769825.46864000009</v>
      </c>
      <c r="P18" s="41">
        <f t="shared" si="1"/>
        <v>825235.0318</v>
      </c>
      <c r="Q18" s="41">
        <f t="shared" si="1"/>
        <v>775046.84317000012</v>
      </c>
      <c r="R18" s="95">
        <f t="shared" si="1"/>
        <v>776918</v>
      </c>
      <c r="S18" s="122">
        <f>S23+S63+S121+S155+S180</f>
        <v>769937.5</v>
      </c>
      <c r="T18" s="122">
        <f>T23+T63+T121+T155+T180</f>
        <v>800734.77999999991</v>
      </c>
      <c r="U18" s="122">
        <f>U23+U63+U121+U155+U180</f>
        <v>832764.2</v>
      </c>
    </row>
    <row r="19" spans="1:24" s="34" customFormat="1" ht="31.5" x14ac:dyDescent="0.25">
      <c r="A19" s="199"/>
      <c r="B19" s="199"/>
      <c r="C19" s="199"/>
      <c r="D19" s="199"/>
      <c r="E19" s="200"/>
      <c r="F19" s="22" t="s">
        <v>38</v>
      </c>
      <c r="G19" s="28" t="s">
        <v>26</v>
      </c>
      <c r="H19" s="28"/>
      <c r="I19" s="28"/>
      <c r="J19" s="28"/>
      <c r="K19" s="28"/>
      <c r="L19" s="41">
        <f>L123</f>
        <v>20114.09721</v>
      </c>
      <c r="M19" s="41">
        <f>M123</f>
        <v>19646.904580000002</v>
      </c>
      <c r="N19" s="41">
        <f>N123</f>
        <v>21147.41347</v>
      </c>
      <c r="O19" s="41">
        <f>O123</f>
        <v>22896.799999999999</v>
      </c>
      <c r="P19" s="95">
        <f t="shared" ref="P19:U19" si="2">P123+P156</f>
        <v>23433.810160000001</v>
      </c>
      <c r="Q19" s="95">
        <f t="shared" si="2"/>
        <v>31411.1</v>
      </c>
      <c r="R19" s="95">
        <f t="shared" si="2"/>
        <v>32983</v>
      </c>
      <c r="S19" s="95">
        <f t="shared" si="2"/>
        <v>34093.300000000003</v>
      </c>
      <c r="T19" s="95">
        <f t="shared" si="2"/>
        <v>35456.9</v>
      </c>
      <c r="U19" s="95">
        <f t="shared" si="2"/>
        <v>36875.1</v>
      </c>
    </row>
    <row r="20" spans="1:24" s="34" customFormat="1" ht="21" x14ac:dyDescent="0.25">
      <c r="A20" s="199"/>
      <c r="B20" s="199"/>
      <c r="C20" s="199"/>
      <c r="D20" s="199"/>
      <c r="E20" s="200"/>
      <c r="F20" s="22" t="s">
        <v>20</v>
      </c>
      <c r="G20" s="28" t="s">
        <v>16</v>
      </c>
      <c r="H20" s="28"/>
      <c r="I20" s="28"/>
      <c r="J20" s="28"/>
      <c r="K20" s="28"/>
      <c r="L20" s="41">
        <f t="shared" ref="L20:R20" si="3">L157+L62+L179+L122+L22</f>
        <v>5989.2082600000003</v>
      </c>
      <c r="M20" s="41">
        <f t="shared" si="3"/>
        <v>10267.478679999998</v>
      </c>
      <c r="N20" s="41">
        <f t="shared" si="3"/>
        <v>6648.0489999999991</v>
      </c>
      <c r="O20" s="41">
        <f t="shared" si="3"/>
        <v>160106.46899999998</v>
      </c>
      <c r="P20" s="41">
        <f t="shared" si="3"/>
        <v>104587.63826000001</v>
      </c>
      <c r="Q20" s="41">
        <f t="shared" si="3"/>
        <v>36740.907439999995</v>
      </c>
      <c r="R20" s="95">
        <f t="shared" si="3"/>
        <v>0</v>
      </c>
      <c r="S20" s="122">
        <f>S157+S62+S179+S122+S22</f>
        <v>0</v>
      </c>
      <c r="T20" s="122">
        <f>T157+T62+T179+T122+T22</f>
        <v>0</v>
      </c>
      <c r="U20" s="122">
        <f>U157+U62+U179+U122+U22</f>
        <v>0</v>
      </c>
    </row>
    <row r="21" spans="1:24" s="34" customFormat="1" ht="12.95" customHeight="1" x14ac:dyDescent="0.25">
      <c r="A21" s="186" t="s">
        <v>68</v>
      </c>
      <c r="B21" s="186" t="s">
        <v>69</v>
      </c>
      <c r="C21" s="186"/>
      <c r="D21" s="186"/>
      <c r="E21" s="187" t="s">
        <v>266</v>
      </c>
      <c r="F21" s="19" t="s">
        <v>36</v>
      </c>
      <c r="G21" s="27"/>
      <c r="H21" s="27"/>
      <c r="I21" s="27"/>
      <c r="J21" s="27"/>
      <c r="K21" s="27"/>
      <c r="L21" s="42">
        <f t="shared" ref="L21:R21" si="4">L23+L22</f>
        <v>196057.91362999997</v>
      </c>
      <c r="M21" s="42">
        <f t="shared" si="4"/>
        <v>198851.35260999997</v>
      </c>
      <c r="N21" s="42">
        <f t="shared" si="4"/>
        <v>203930.75100000005</v>
      </c>
      <c r="O21" s="42">
        <f t="shared" si="4"/>
        <v>402820.05800000002</v>
      </c>
      <c r="P21" s="42">
        <f t="shared" si="4"/>
        <v>346234.77535999991</v>
      </c>
      <c r="Q21" s="42">
        <f>SUM(Q24:Q60)</f>
        <v>264929.12576000002</v>
      </c>
      <c r="R21" s="96">
        <f t="shared" si="4"/>
        <v>252045.7</v>
      </c>
      <c r="S21" s="123">
        <f>S23+S22</f>
        <v>251487.7</v>
      </c>
      <c r="T21" s="123">
        <f>T23+T22</f>
        <v>261547.07999999996</v>
      </c>
      <c r="U21" s="123">
        <f>U23+U22</f>
        <v>272008.8</v>
      </c>
    </row>
    <row r="22" spans="1:24" s="34" customFormat="1" ht="12.95" customHeight="1" x14ac:dyDescent="0.25">
      <c r="A22" s="186"/>
      <c r="B22" s="186"/>
      <c r="C22" s="186"/>
      <c r="D22" s="186"/>
      <c r="E22" s="187"/>
      <c r="F22" s="19" t="s">
        <v>18</v>
      </c>
      <c r="G22" s="27" t="s">
        <v>16</v>
      </c>
      <c r="H22" s="27"/>
      <c r="I22" s="27"/>
      <c r="J22" s="27"/>
      <c r="K22" s="27"/>
      <c r="L22" s="42">
        <f>L49</f>
        <v>0</v>
      </c>
      <c r="M22" s="42">
        <f>M49</f>
        <v>0</v>
      </c>
      <c r="N22" s="42">
        <f>N49</f>
        <v>60.216999999999999</v>
      </c>
      <c r="O22" s="42">
        <f>O49+O34++O55+O57+O59+O60+O47</f>
        <v>153315.9</v>
      </c>
      <c r="P22" s="42">
        <f>P35+P53+P54+P56+P59+P60</f>
        <v>71479.518559999997</v>
      </c>
      <c r="Q22" s="42">
        <f>Q54+Q60</f>
        <v>12617.230100000001</v>
      </c>
      <c r="R22" s="96">
        <f>R49</f>
        <v>0</v>
      </c>
      <c r="S22" s="123">
        <f>S49</f>
        <v>0</v>
      </c>
      <c r="T22" s="123">
        <f>T49</f>
        <v>0</v>
      </c>
      <c r="U22" s="123">
        <f>U49</f>
        <v>0</v>
      </c>
    </row>
    <row r="23" spans="1:24" s="34" customFormat="1" ht="25.5" customHeight="1" x14ac:dyDescent="0.25">
      <c r="A23" s="186"/>
      <c r="B23" s="186"/>
      <c r="C23" s="186"/>
      <c r="D23" s="186"/>
      <c r="E23" s="187"/>
      <c r="F23" s="20" t="s">
        <v>37</v>
      </c>
      <c r="G23" s="24" t="s">
        <v>25</v>
      </c>
      <c r="H23" s="24"/>
      <c r="I23" s="24"/>
      <c r="J23" s="24"/>
      <c r="K23" s="24"/>
      <c r="L23" s="43">
        <f>SUM(L24:L51)-L49</f>
        <v>196057.91362999997</v>
      </c>
      <c r="M23" s="43">
        <f>SUM(M24:M51)-M49</f>
        <v>198851.35260999997</v>
      </c>
      <c r="N23" s="43">
        <f>SUM(N24:N51)-N49</f>
        <v>203870.53400000004</v>
      </c>
      <c r="O23" s="43">
        <f>SUM(O24:O60)-O22</f>
        <v>249504.15800000002</v>
      </c>
      <c r="P23" s="43">
        <f>SUM(P24:P60)-P22</f>
        <v>274755.25679999992</v>
      </c>
      <c r="Q23" s="43">
        <f>Q25+Q27+Q39+Q41+Q42+Q43+Q51+Q58</f>
        <v>252311.88717</v>
      </c>
      <c r="R23" s="97">
        <f>SUM(R24:R51)-R49</f>
        <v>252045.7</v>
      </c>
      <c r="S23" s="124">
        <f>SUM(S24:S51)-S49</f>
        <v>251487.7</v>
      </c>
      <c r="T23" s="124">
        <f>SUM(T24:T51)-T49</f>
        <v>261547.07999999996</v>
      </c>
      <c r="U23" s="124">
        <f>SUM(U24:U51)-U49</f>
        <v>272008.8</v>
      </c>
    </row>
    <row r="24" spans="1:24" ht="20.25" customHeight="1" x14ac:dyDescent="0.25">
      <c r="A24" s="175" t="s">
        <v>68</v>
      </c>
      <c r="B24" s="175" t="s">
        <v>69</v>
      </c>
      <c r="C24" s="175" t="s">
        <v>76</v>
      </c>
      <c r="D24" s="7"/>
      <c r="E24" s="179" t="s">
        <v>57</v>
      </c>
      <c r="F24" s="179" t="s">
        <v>37</v>
      </c>
      <c r="G24" s="25" t="s">
        <v>25</v>
      </c>
      <c r="H24" s="25" t="s">
        <v>84</v>
      </c>
      <c r="I24" s="25" t="s">
        <v>68</v>
      </c>
      <c r="J24" s="25" t="s">
        <v>98</v>
      </c>
      <c r="K24" s="25" t="s">
        <v>5</v>
      </c>
      <c r="L24" s="44">
        <v>138063.6</v>
      </c>
      <c r="M24" s="44">
        <v>0</v>
      </c>
      <c r="N24" s="45">
        <v>0</v>
      </c>
      <c r="O24" s="45">
        <f>N24</f>
        <v>0</v>
      </c>
      <c r="P24" s="45">
        <f>O24</f>
        <v>0</v>
      </c>
      <c r="Q24" s="45">
        <f>O24</f>
        <v>0</v>
      </c>
      <c r="R24" s="98">
        <f>P24</f>
        <v>0</v>
      </c>
      <c r="S24" s="121"/>
      <c r="T24" s="121"/>
      <c r="U24" s="121"/>
    </row>
    <row r="25" spans="1:24" x14ac:dyDescent="0.25">
      <c r="A25" s="181"/>
      <c r="B25" s="181"/>
      <c r="C25" s="181"/>
      <c r="D25" s="7"/>
      <c r="E25" s="177"/>
      <c r="F25" s="177"/>
      <c r="G25" s="25" t="s">
        <v>25</v>
      </c>
      <c r="H25" s="25" t="s">
        <v>84</v>
      </c>
      <c r="I25" s="25" t="s">
        <v>68</v>
      </c>
      <c r="J25" s="25" t="s">
        <v>156</v>
      </c>
      <c r="K25" s="25" t="s">
        <v>5</v>
      </c>
      <c r="L25" s="44">
        <v>0</v>
      </c>
      <c r="M25" s="44">
        <v>141984.79999999999</v>
      </c>
      <c r="N25" s="44">
        <v>147619.9</v>
      </c>
      <c r="O25" s="44">
        <v>181680.4</v>
      </c>
      <c r="P25" s="44">
        <v>194486.8</v>
      </c>
      <c r="Q25" s="44">
        <v>191045.5</v>
      </c>
      <c r="R25" s="99">
        <v>191310</v>
      </c>
      <c r="S25" s="121">
        <v>190752</v>
      </c>
      <c r="T25" s="121">
        <v>198382.07999999999</v>
      </c>
      <c r="U25" s="121">
        <v>206317.4</v>
      </c>
    </row>
    <row r="26" spans="1:24" x14ac:dyDescent="0.25">
      <c r="A26" s="181"/>
      <c r="B26" s="181"/>
      <c r="C26" s="181"/>
      <c r="D26" s="7"/>
      <c r="E26" s="177"/>
      <c r="F26" s="177"/>
      <c r="G26" s="25" t="s">
        <v>25</v>
      </c>
      <c r="H26" s="25" t="s">
        <v>84</v>
      </c>
      <c r="I26" s="25" t="s">
        <v>68</v>
      </c>
      <c r="J26" s="25" t="s">
        <v>101</v>
      </c>
      <c r="K26" s="26" t="s">
        <v>5</v>
      </c>
      <c r="L26" s="44">
        <v>40594.540090000002</v>
      </c>
      <c r="M26" s="44">
        <v>0</v>
      </c>
      <c r="N26" s="45">
        <v>0</v>
      </c>
      <c r="O26" s="45">
        <f>N26</f>
        <v>0</v>
      </c>
      <c r="P26" s="45">
        <f>O26</f>
        <v>0</v>
      </c>
      <c r="Q26" s="45">
        <f>O26</f>
        <v>0</v>
      </c>
      <c r="R26" s="98">
        <f>P26</f>
        <v>0</v>
      </c>
      <c r="S26" s="121"/>
      <c r="T26" s="121"/>
      <c r="U26" s="121"/>
    </row>
    <row r="27" spans="1:24" x14ac:dyDescent="0.25">
      <c r="A27" s="181"/>
      <c r="B27" s="181"/>
      <c r="C27" s="181"/>
      <c r="D27" s="7"/>
      <c r="E27" s="177"/>
      <c r="F27" s="177"/>
      <c r="G27" s="25" t="s">
        <v>25</v>
      </c>
      <c r="H27" s="25" t="s">
        <v>84</v>
      </c>
      <c r="I27" s="25" t="s">
        <v>68</v>
      </c>
      <c r="J27" s="25" t="s">
        <v>157</v>
      </c>
      <c r="K27" s="26" t="s">
        <v>218</v>
      </c>
      <c r="L27" s="44">
        <v>0</v>
      </c>
      <c r="M27" s="44">
        <v>42427.252610000003</v>
      </c>
      <c r="N27" s="44">
        <f>35733.97+5803</f>
        <v>41536.97</v>
      </c>
      <c r="O27" s="44">
        <v>41862.400000000001</v>
      </c>
      <c r="P27" s="44">
        <f>38079.402+22846.564</f>
        <v>60925.966</v>
      </c>
      <c r="Q27" s="44">
        <f>43553.7+379.9</f>
        <v>43933.599999999999</v>
      </c>
      <c r="R27" s="99">
        <v>43933.599999999999</v>
      </c>
      <c r="S27" s="121">
        <v>43933.599999999999</v>
      </c>
      <c r="T27" s="121">
        <v>45690.9</v>
      </c>
      <c r="U27" s="121">
        <v>47518.5</v>
      </c>
    </row>
    <row r="28" spans="1:24" x14ac:dyDescent="0.25">
      <c r="A28" s="181"/>
      <c r="B28" s="181"/>
      <c r="C28" s="181"/>
      <c r="D28" s="7"/>
      <c r="E28" s="177"/>
      <c r="F28" s="177"/>
      <c r="G28" s="25" t="s">
        <v>25</v>
      </c>
      <c r="H28" s="25" t="s">
        <v>84</v>
      </c>
      <c r="I28" s="25" t="s">
        <v>68</v>
      </c>
      <c r="J28" s="25" t="s">
        <v>210</v>
      </c>
      <c r="K28" s="26" t="s">
        <v>7</v>
      </c>
      <c r="L28" s="44">
        <v>0</v>
      </c>
      <c r="M28" s="44">
        <v>0</v>
      </c>
      <c r="N28" s="44">
        <v>440</v>
      </c>
      <c r="O28" s="44">
        <v>390</v>
      </c>
      <c r="P28" s="44">
        <v>283.41000000000003</v>
      </c>
      <c r="Q28" s="44">
        <v>0</v>
      </c>
      <c r="R28" s="99">
        <v>0</v>
      </c>
      <c r="S28" s="121"/>
      <c r="T28" s="121"/>
      <c r="U28" s="121"/>
    </row>
    <row r="29" spans="1:24" x14ac:dyDescent="0.25">
      <c r="A29" s="181"/>
      <c r="B29" s="181"/>
      <c r="C29" s="181"/>
      <c r="D29" s="7"/>
      <c r="E29" s="177"/>
      <c r="F29" s="177"/>
      <c r="G29" s="25" t="s">
        <v>25</v>
      </c>
      <c r="H29" s="25" t="s">
        <v>84</v>
      </c>
      <c r="I29" s="25" t="s">
        <v>68</v>
      </c>
      <c r="J29" s="25" t="s">
        <v>177</v>
      </c>
      <c r="K29" s="26" t="s">
        <v>7</v>
      </c>
      <c r="L29" s="44">
        <v>0</v>
      </c>
      <c r="M29" s="44">
        <v>612.79999999999995</v>
      </c>
      <c r="N29" s="44">
        <v>0</v>
      </c>
      <c r="O29" s="44">
        <v>664.05799999999999</v>
      </c>
      <c r="P29" s="44">
        <v>701.3</v>
      </c>
      <c r="Q29" s="44">
        <v>0</v>
      </c>
      <c r="R29" s="99">
        <v>0</v>
      </c>
      <c r="S29" s="121"/>
      <c r="T29" s="121"/>
      <c r="U29" s="121"/>
    </row>
    <row r="30" spans="1:24" x14ac:dyDescent="0.25">
      <c r="A30" s="181"/>
      <c r="B30" s="181"/>
      <c r="C30" s="181"/>
      <c r="D30" s="7"/>
      <c r="E30" s="177"/>
      <c r="F30" s="177"/>
      <c r="G30" s="25" t="s">
        <v>25</v>
      </c>
      <c r="H30" s="25" t="s">
        <v>84</v>
      </c>
      <c r="I30" s="25" t="s">
        <v>68</v>
      </c>
      <c r="J30" s="25" t="s">
        <v>284</v>
      </c>
      <c r="K30" s="26" t="s">
        <v>7</v>
      </c>
      <c r="L30" s="44"/>
      <c r="M30" s="44"/>
      <c r="N30" s="44"/>
      <c r="O30" s="44">
        <v>507.6</v>
      </c>
      <c r="P30" s="44">
        <v>0</v>
      </c>
      <c r="Q30" s="44">
        <v>0</v>
      </c>
      <c r="R30" s="99">
        <v>0</v>
      </c>
      <c r="S30" s="121"/>
      <c r="T30" s="121"/>
      <c r="U30" s="121"/>
    </row>
    <row r="31" spans="1:24" x14ac:dyDescent="0.25">
      <c r="A31" s="181"/>
      <c r="B31" s="181"/>
      <c r="C31" s="181"/>
      <c r="D31" s="7"/>
      <c r="E31" s="177"/>
      <c r="F31" s="177"/>
      <c r="G31" s="25" t="s">
        <v>25</v>
      </c>
      <c r="H31" s="25" t="s">
        <v>84</v>
      </c>
      <c r="I31" s="25" t="s">
        <v>68</v>
      </c>
      <c r="J31" s="25" t="s">
        <v>189</v>
      </c>
      <c r="K31" s="26" t="s">
        <v>7</v>
      </c>
      <c r="L31" s="44">
        <v>0</v>
      </c>
      <c r="M31" s="44">
        <v>495</v>
      </c>
      <c r="N31" s="44">
        <v>0</v>
      </c>
      <c r="O31" s="44">
        <v>0</v>
      </c>
      <c r="P31" s="44">
        <v>0</v>
      </c>
      <c r="Q31" s="44">
        <v>0</v>
      </c>
      <c r="R31" s="99">
        <v>0</v>
      </c>
      <c r="S31" s="121"/>
      <c r="T31" s="121"/>
      <c r="U31" s="121"/>
    </row>
    <row r="32" spans="1:24" x14ac:dyDescent="0.25">
      <c r="A32" s="181"/>
      <c r="B32" s="181"/>
      <c r="C32" s="181"/>
      <c r="D32" s="7"/>
      <c r="E32" s="177"/>
      <c r="F32" s="177"/>
      <c r="G32" s="25" t="s">
        <v>25</v>
      </c>
      <c r="H32" s="25" t="s">
        <v>84</v>
      </c>
      <c r="I32" s="25" t="s">
        <v>68</v>
      </c>
      <c r="J32" s="25" t="s">
        <v>127</v>
      </c>
      <c r="K32" s="26" t="s">
        <v>7</v>
      </c>
      <c r="L32" s="44">
        <v>415.1</v>
      </c>
      <c r="M32" s="44">
        <v>0</v>
      </c>
      <c r="N32" s="45">
        <v>0</v>
      </c>
      <c r="O32" s="45">
        <f>M32</f>
        <v>0</v>
      </c>
      <c r="P32" s="45">
        <f>M32</f>
        <v>0</v>
      </c>
      <c r="Q32" s="45">
        <v>0</v>
      </c>
      <c r="R32" s="98">
        <f>M32</f>
        <v>0</v>
      </c>
      <c r="S32" s="121"/>
      <c r="T32" s="121"/>
      <c r="U32" s="121"/>
    </row>
    <row r="33" spans="1:21" x14ac:dyDescent="0.25">
      <c r="A33" s="181"/>
      <c r="B33" s="181"/>
      <c r="C33" s="181"/>
      <c r="D33" s="7"/>
      <c r="E33" s="177"/>
      <c r="F33" s="180"/>
      <c r="G33" s="25" t="s">
        <v>25</v>
      </c>
      <c r="H33" s="25" t="s">
        <v>84</v>
      </c>
      <c r="I33" s="25" t="s">
        <v>68</v>
      </c>
      <c r="J33" s="25" t="s">
        <v>132</v>
      </c>
      <c r="K33" s="26" t="s">
        <v>7</v>
      </c>
      <c r="L33" s="44">
        <v>507</v>
      </c>
      <c r="M33" s="44">
        <v>0</v>
      </c>
      <c r="N33" s="45">
        <v>0</v>
      </c>
      <c r="O33" s="45">
        <v>0</v>
      </c>
      <c r="P33" s="45">
        <f>O33</f>
        <v>0</v>
      </c>
      <c r="Q33" s="45">
        <f>O33</f>
        <v>0</v>
      </c>
      <c r="R33" s="98">
        <f>P33</f>
        <v>0</v>
      </c>
      <c r="S33" s="121"/>
      <c r="T33" s="121"/>
      <c r="U33" s="121"/>
    </row>
    <row r="34" spans="1:21" ht="22.5" customHeight="1" x14ac:dyDescent="0.25">
      <c r="A34" s="181"/>
      <c r="B34" s="181"/>
      <c r="C34" s="181"/>
      <c r="D34" s="7"/>
      <c r="E34" s="177"/>
      <c r="F34" s="179" t="s">
        <v>20</v>
      </c>
      <c r="G34" s="25" t="s">
        <v>16</v>
      </c>
      <c r="H34" s="25" t="s">
        <v>84</v>
      </c>
      <c r="I34" s="25" t="s">
        <v>68</v>
      </c>
      <c r="J34" s="25" t="s">
        <v>189</v>
      </c>
      <c r="K34" s="26" t="s">
        <v>7</v>
      </c>
      <c r="L34" s="44"/>
      <c r="M34" s="44"/>
      <c r="N34" s="45"/>
      <c r="O34" s="45">
        <v>15</v>
      </c>
      <c r="P34" s="45">
        <v>0</v>
      </c>
      <c r="Q34" s="45">
        <v>0</v>
      </c>
      <c r="R34" s="98">
        <v>0</v>
      </c>
      <c r="S34" s="121"/>
      <c r="T34" s="121"/>
      <c r="U34" s="121"/>
    </row>
    <row r="35" spans="1:21" x14ac:dyDescent="0.25">
      <c r="A35" s="176"/>
      <c r="B35" s="176"/>
      <c r="C35" s="176"/>
      <c r="D35" s="7"/>
      <c r="E35" s="180"/>
      <c r="F35" s="180"/>
      <c r="G35" s="25" t="s">
        <v>16</v>
      </c>
      <c r="H35" s="25" t="s">
        <v>84</v>
      </c>
      <c r="I35" s="25" t="s">
        <v>68</v>
      </c>
      <c r="J35" s="25" t="s">
        <v>157</v>
      </c>
      <c r="K35" s="26" t="s">
        <v>10</v>
      </c>
      <c r="L35" s="44"/>
      <c r="M35" s="44"/>
      <c r="N35" s="45"/>
      <c r="O35" s="45"/>
      <c r="P35" s="45">
        <v>265.58087999999998</v>
      </c>
      <c r="Q35" s="45"/>
      <c r="R35" s="98"/>
      <c r="S35" s="121"/>
      <c r="T35" s="121"/>
      <c r="U35" s="121"/>
    </row>
    <row r="36" spans="1:21" ht="21.75" customHeight="1" x14ac:dyDescent="0.25">
      <c r="A36" s="175" t="s">
        <v>68</v>
      </c>
      <c r="B36" s="175" t="s">
        <v>69</v>
      </c>
      <c r="C36" s="175" t="s">
        <v>78</v>
      </c>
      <c r="D36" s="7"/>
      <c r="E36" s="179" t="s">
        <v>55</v>
      </c>
      <c r="F36" s="179" t="s">
        <v>37</v>
      </c>
      <c r="G36" s="25" t="s">
        <v>25</v>
      </c>
      <c r="H36" s="25" t="s">
        <v>84</v>
      </c>
      <c r="I36" s="25" t="s">
        <v>68</v>
      </c>
      <c r="J36" s="25" t="s">
        <v>97</v>
      </c>
      <c r="K36" s="25" t="s">
        <v>5</v>
      </c>
      <c r="L36" s="44">
        <v>2692.0010000000002</v>
      </c>
      <c r="M36" s="44">
        <v>0</v>
      </c>
      <c r="N36" s="45">
        <f>M36</f>
        <v>0</v>
      </c>
      <c r="O36" s="45">
        <f>M36</f>
        <v>0</v>
      </c>
      <c r="P36" s="45">
        <f>O36</f>
        <v>0</v>
      </c>
      <c r="Q36" s="45">
        <v>0</v>
      </c>
      <c r="R36" s="98">
        <f>M36</f>
        <v>0</v>
      </c>
      <c r="S36" s="121"/>
      <c r="T36" s="121"/>
      <c r="U36" s="121"/>
    </row>
    <row r="37" spans="1:21" x14ac:dyDescent="0.25">
      <c r="A37" s="176"/>
      <c r="B37" s="176"/>
      <c r="C37" s="176"/>
      <c r="D37" s="7"/>
      <c r="E37" s="180"/>
      <c r="F37" s="180"/>
      <c r="G37" s="25" t="s">
        <v>25</v>
      </c>
      <c r="H37" s="25" t="s">
        <v>84</v>
      </c>
      <c r="I37" s="25" t="s">
        <v>68</v>
      </c>
      <c r="J37" s="25" t="s">
        <v>285</v>
      </c>
      <c r="K37" s="25" t="s">
        <v>7</v>
      </c>
      <c r="L37" s="44"/>
      <c r="M37" s="44"/>
      <c r="N37" s="45"/>
      <c r="O37" s="45">
        <v>10200.4</v>
      </c>
      <c r="P37" s="45">
        <v>0</v>
      </c>
      <c r="Q37" s="45">
        <v>0</v>
      </c>
      <c r="R37" s="98">
        <v>0</v>
      </c>
      <c r="S37" s="121"/>
      <c r="T37" s="121"/>
      <c r="U37" s="121"/>
    </row>
    <row r="38" spans="1:21" ht="19.5" customHeight="1" x14ac:dyDescent="0.25">
      <c r="A38" s="175" t="s">
        <v>68</v>
      </c>
      <c r="B38" s="175" t="s">
        <v>69</v>
      </c>
      <c r="C38" s="175" t="s">
        <v>80</v>
      </c>
      <c r="D38" s="7"/>
      <c r="E38" s="179" t="s">
        <v>79</v>
      </c>
      <c r="F38" s="179" t="s">
        <v>37</v>
      </c>
      <c r="G38" s="25" t="s">
        <v>25</v>
      </c>
      <c r="H38" s="25" t="s">
        <v>86</v>
      </c>
      <c r="I38" s="25" t="s">
        <v>80</v>
      </c>
      <c r="J38" s="25" t="s">
        <v>103</v>
      </c>
      <c r="K38" s="25" t="s">
        <v>6</v>
      </c>
      <c r="L38" s="44">
        <v>5969.3</v>
      </c>
      <c r="M38" s="44">
        <v>0</v>
      </c>
      <c r="N38" s="45">
        <v>0</v>
      </c>
      <c r="O38" s="45">
        <f t="shared" ref="O38:P40" si="5">N38</f>
        <v>0</v>
      </c>
      <c r="P38" s="45">
        <f t="shared" si="5"/>
        <v>0</v>
      </c>
      <c r="Q38" s="45">
        <f>O38</f>
        <v>0</v>
      </c>
      <c r="R38" s="98">
        <f>P38</f>
        <v>0</v>
      </c>
      <c r="S38" s="121"/>
      <c r="T38" s="121"/>
      <c r="U38" s="121"/>
    </row>
    <row r="39" spans="1:21" ht="21.75" customHeight="1" x14ac:dyDescent="0.25">
      <c r="A39" s="176"/>
      <c r="B39" s="176"/>
      <c r="C39" s="176"/>
      <c r="D39" s="7"/>
      <c r="E39" s="180"/>
      <c r="F39" s="180"/>
      <c r="G39" s="25" t="s">
        <v>25</v>
      </c>
      <c r="H39" s="25" t="s">
        <v>86</v>
      </c>
      <c r="I39" s="25" t="s">
        <v>80</v>
      </c>
      <c r="J39" s="25" t="s">
        <v>160</v>
      </c>
      <c r="K39" s="25" t="s">
        <v>6</v>
      </c>
      <c r="L39" s="44">
        <v>0</v>
      </c>
      <c r="M39" s="44">
        <v>5401.5</v>
      </c>
      <c r="N39" s="44">
        <v>5911.7</v>
      </c>
      <c r="O39" s="44">
        <v>6165.6</v>
      </c>
      <c r="P39" s="44">
        <v>4045</v>
      </c>
      <c r="Q39" s="44">
        <v>7772</v>
      </c>
      <c r="R39" s="99">
        <v>7772</v>
      </c>
      <c r="S39" s="121">
        <v>7772</v>
      </c>
      <c r="T39" s="121">
        <v>8082.9</v>
      </c>
      <c r="U39" s="121">
        <v>8406.2000000000007</v>
      </c>
    </row>
    <row r="40" spans="1:21" ht="28.5" customHeight="1" x14ac:dyDescent="0.25">
      <c r="A40" s="175" t="s">
        <v>68</v>
      </c>
      <c r="B40" s="175" t="s">
        <v>69</v>
      </c>
      <c r="C40" s="175" t="s">
        <v>82</v>
      </c>
      <c r="D40" s="7"/>
      <c r="E40" s="179" t="s">
        <v>81</v>
      </c>
      <c r="F40" s="179" t="s">
        <v>37</v>
      </c>
      <c r="G40" s="25" t="s">
        <v>25</v>
      </c>
      <c r="H40" s="25" t="s">
        <v>84</v>
      </c>
      <c r="I40" s="25" t="s">
        <v>85</v>
      </c>
      <c r="J40" s="25" t="s">
        <v>102</v>
      </c>
      <c r="K40" s="25" t="s">
        <v>5</v>
      </c>
      <c r="L40" s="44">
        <v>110.6</v>
      </c>
      <c r="M40" s="44">
        <v>0</v>
      </c>
      <c r="N40" s="45">
        <v>0</v>
      </c>
      <c r="O40" s="45">
        <f t="shared" si="5"/>
        <v>0</v>
      </c>
      <c r="P40" s="45">
        <f t="shared" si="5"/>
        <v>0</v>
      </c>
      <c r="Q40" s="45">
        <f>O40</f>
        <v>0</v>
      </c>
      <c r="R40" s="98">
        <f>P40</f>
        <v>0</v>
      </c>
      <c r="S40" s="121"/>
      <c r="T40" s="121"/>
      <c r="U40" s="121"/>
    </row>
    <row r="41" spans="1:21" x14ac:dyDescent="0.25">
      <c r="A41" s="181"/>
      <c r="B41" s="181"/>
      <c r="C41" s="181"/>
      <c r="D41" s="7"/>
      <c r="E41" s="177"/>
      <c r="F41" s="177"/>
      <c r="G41" s="25" t="s">
        <v>25</v>
      </c>
      <c r="H41" s="25" t="s">
        <v>86</v>
      </c>
      <c r="I41" s="25" t="s">
        <v>80</v>
      </c>
      <c r="J41" s="25" t="s">
        <v>161</v>
      </c>
      <c r="K41" s="25" t="s">
        <v>5</v>
      </c>
      <c r="L41" s="44">
        <v>0</v>
      </c>
      <c r="M41" s="44">
        <v>133.69999999999999</v>
      </c>
      <c r="N41" s="44">
        <v>183</v>
      </c>
      <c r="O41" s="44">
        <v>181.7</v>
      </c>
      <c r="P41" s="44">
        <v>194.7</v>
      </c>
      <c r="Q41" s="44">
        <v>198.5</v>
      </c>
      <c r="R41" s="99">
        <v>198.5</v>
      </c>
      <c r="S41" s="121">
        <v>198.5</v>
      </c>
      <c r="T41" s="121">
        <v>206.4</v>
      </c>
      <c r="U41" s="121">
        <v>214.6</v>
      </c>
    </row>
    <row r="42" spans="1:21" x14ac:dyDescent="0.25">
      <c r="A42" s="181"/>
      <c r="B42" s="181"/>
      <c r="C42" s="181"/>
      <c r="D42" s="7"/>
      <c r="E42" s="177"/>
      <c r="F42" s="177"/>
      <c r="G42" s="25" t="s">
        <v>25</v>
      </c>
      <c r="H42" s="25" t="s">
        <v>86</v>
      </c>
      <c r="I42" s="25" t="s">
        <v>80</v>
      </c>
      <c r="J42" s="25" t="s">
        <v>194</v>
      </c>
      <c r="K42" s="25" t="s">
        <v>5</v>
      </c>
      <c r="L42" s="44">
        <v>0</v>
      </c>
      <c r="M42" s="44">
        <v>230.9</v>
      </c>
      <c r="N42" s="44">
        <v>186.2</v>
      </c>
      <c r="O42" s="44">
        <v>349.9</v>
      </c>
      <c r="P42" s="44">
        <v>401.4</v>
      </c>
      <c r="Q42" s="44">
        <v>376.1</v>
      </c>
      <c r="R42" s="99">
        <v>376.1</v>
      </c>
      <c r="S42" s="121">
        <v>376.1</v>
      </c>
      <c r="T42" s="121">
        <v>391.1</v>
      </c>
      <c r="U42" s="121">
        <v>406.7</v>
      </c>
    </row>
    <row r="43" spans="1:21" x14ac:dyDescent="0.25">
      <c r="A43" s="181"/>
      <c r="B43" s="181"/>
      <c r="C43" s="181"/>
      <c r="D43" s="7"/>
      <c r="E43" s="177"/>
      <c r="F43" s="177"/>
      <c r="G43" s="25" t="s">
        <v>25</v>
      </c>
      <c r="H43" s="25" t="s">
        <v>86</v>
      </c>
      <c r="I43" s="25" t="s">
        <v>80</v>
      </c>
      <c r="J43" s="25" t="s">
        <v>219</v>
      </c>
      <c r="K43" s="25" t="s">
        <v>5</v>
      </c>
      <c r="L43" s="44">
        <v>0</v>
      </c>
      <c r="M43" s="44">
        <v>0</v>
      </c>
      <c r="N43" s="44">
        <v>135.828</v>
      </c>
      <c r="O43" s="44">
        <v>200.7</v>
      </c>
      <c r="P43" s="44">
        <v>252.8</v>
      </c>
      <c r="Q43" s="44">
        <v>219.5</v>
      </c>
      <c r="R43" s="99">
        <v>219.5</v>
      </c>
      <c r="S43" s="121">
        <v>219.5</v>
      </c>
      <c r="T43" s="121">
        <v>228.3</v>
      </c>
      <c r="U43" s="121">
        <v>237.4</v>
      </c>
    </row>
    <row r="44" spans="1:21" s="34" customFormat="1" x14ac:dyDescent="0.25">
      <c r="A44" s="176"/>
      <c r="B44" s="176"/>
      <c r="C44" s="176"/>
      <c r="D44" s="7"/>
      <c r="E44" s="180"/>
      <c r="F44" s="180"/>
      <c r="G44" s="25" t="s">
        <v>25</v>
      </c>
      <c r="H44" s="25" t="s">
        <v>84</v>
      </c>
      <c r="I44" s="25" t="s">
        <v>85</v>
      </c>
      <c r="J44" s="25" t="s">
        <v>142</v>
      </c>
      <c r="K44" s="26" t="s">
        <v>5</v>
      </c>
      <c r="L44" s="44">
        <v>187.5</v>
      </c>
      <c r="M44" s="44">
        <v>0</v>
      </c>
      <c r="N44" s="45">
        <v>0</v>
      </c>
      <c r="O44" s="45">
        <f>M44</f>
        <v>0</v>
      </c>
      <c r="P44" s="45">
        <f>M44</f>
        <v>0</v>
      </c>
      <c r="Q44" s="45">
        <v>0</v>
      </c>
      <c r="R44" s="98">
        <f>M44</f>
        <v>0</v>
      </c>
      <c r="S44" s="125"/>
      <c r="T44" s="125"/>
      <c r="U44" s="125"/>
    </row>
    <row r="45" spans="1:21" s="34" customFormat="1" ht="21.75" customHeight="1" x14ac:dyDescent="0.25">
      <c r="A45" s="175" t="s">
        <v>68</v>
      </c>
      <c r="B45" s="175" t="s">
        <v>69</v>
      </c>
      <c r="C45" s="175" t="s">
        <v>83</v>
      </c>
      <c r="D45" s="7"/>
      <c r="E45" s="197" t="s">
        <v>3</v>
      </c>
      <c r="F45" s="179" t="s">
        <v>37</v>
      </c>
      <c r="G45" s="25" t="s">
        <v>25</v>
      </c>
      <c r="H45" s="25" t="s">
        <v>84</v>
      </c>
      <c r="I45" s="25" t="s">
        <v>68</v>
      </c>
      <c r="J45" s="25" t="s">
        <v>99</v>
      </c>
      <c r="K45" s="26" t="s">
        <v>7</v>
      </c>
      <c r="L45" s="44">
        <v>610.04999999999995</v>
      </c>
      <c r="M45" s="44">
        <v>0</v>
      </c>
      <c r="N45" s="45">
        <v>0</v>
      </c>
      <c r="O45" s="45">
        <f>M45</f>
        <v>0</v>
      </c>
      <c r="P45" s="45">
        <f>M45</f>
        <v>0</v>
      </c>
      <c r="Q45" s="45">
        <v>0</v>
      </c>
      <c r="R45" s="98">
        <f>M45</f>
        <v>0</v>
      </c>
      <c r="S45" s="125"/>
      <c r="T45" s="125"/>
      <c r="U45" s="125"/>
    </row>
    <row r="46" spans="1:21" s="34" customFormat="1" x14ac:dyDescent="0.25">
      <c r="A46" s="181"/>
      <c r="B46" s="181"/>
      <c r="C46" s="181"/>
      <c r="D46" s="7"/>
      <c r="E46" s="208"/>
      <c r="F46" s="177"/>
      <c r="G46" s="25" t="s">
        <v>25</v>
      </c>
      <c r="H46" s="25" t="s">
        <v>84</v>
      </c>
      <c r="I46" s="25" t="s">
        <v>68</v>
      </c>
      <c r="J46" s="25" t="s">
        <v>158</v>
      </c>
      <c r="K46" s="26" t="s">
        <v>7</v>
      </c>
      <c r="L46" s="44">
        <v>0</v>
      </c>
      <c r="M46" s="44">
        <v>400</v>
      </c>
      <c r="N46" s="44">
        <v>0</v>
      </c>
      <c r="O46" s="44">
        <v>0</v>
      </c>
      <c r="P46" s="44">
        <v>30</v>
      </c>
      <c r="Q46" s="44">
        <v>0</v>
      </c>
      <c r="R46" s="99">
        <v>0</v>
      </c>
      <c r="S46" s="125"/>
      <c r="T46" s="125"/>
      <c r="U46" s="125"/>
    </row>
    <row r="47" spans="1:21" s="34" customFormat="1" x14ac:dyDescent="0.25">
      <c r="A47" s="176"/>
      <c r="B47" s="176"/>
      <c r="C47" s="176"/>
      <c r="D47" s="7"/>
      <c r="E47" s="198"/>
      <c r="F47" s="59" t="s">
        <v>18</v>
      </c>
      <c r="G47" s="55" t="s">
        <v>16</v>
      </c>
      <c r="H47" s="25" t="s">
        <v>84</v>
      </c>
      <c r="I47" s="25" t="s">
        <v>68</v>
      </c>
      <c r="J47" s="25" t="s">
        <v>158</v>
      </c>
      <c r="K47" s="26" t="s">
        <v>7</v>
      </c>
      <c r="L47" s="44"/>
      <c r="M47" s="44"/>
      <c r="N47" s="44"/>
      <c r="O47" s="44">
        <v>8</v>
      </c>
      <c r="P47" s="44">
        <v>0</v>
      </c>
      <c r="Q47" s="44">
        <v>0</v>
      </c>
      <c r="R47" s="99">
        <v>0</v>
      </c>
      <c r="S47" s="125"/>
      <c r="T47" s="125"/>
      <c r="U47" s="125"/>
    </row>
    <row r="48" spans="1:21" s="34" customFormat="1" ht="32.25" customHeight="1" x14ac:dyDescent="0.25">
      <c r="A48" s="175" t="s">
        <v>68</v>
      </c>
      <c r="B48" s="175" t="s">
        <v>69</v>
      </c>
      <c r="C48" s="175" t="s">
        <v>85</v>
      </c>
      <c r="D48" s="7"/>
      <c r="E48" s="197" t="s">
        <v>191</v>
      </c>
      <c r="F48" s="59" t="s">
        <v>37</v>
      </c>
      <c r="G48" s="55" t="s">
        <v>25</v>
      </c>
      <c r="H48" s="25" t="s">
        <v>84</v>
      </c>
      <c r="I48" s="25" t="s">
        <v>68</v>
      </c>
      <c r="J48" s="25" t="s">
        <v>190</v>
      </c>
      <c r="K48" s="26" t="s">
        <v>7</v>
      </c>
      <c r="L48" s="44">
        <v>0</v>
      </c>
      <c r="M48" s="44">
        <v>100</v>
      </c>
      <c r="N48" s="44">
        <v>497.73599999999999</v>
      </c>
      <c r="O48" s="44">
        <v>0</v>
      </c>
      <c r="P48" s="44">
        <v>0</v>
      </c>
      <c r="Q48" s="44">
        <v>0</v>
      </c>
      <c r="R48" s="99">
        <v>0</v>
      </c>
      <c r="S48" s="125"/>
      <c r="T48" s="125"/>
      <c r="U48" s="125"/>
    </row>
    <row r="49" spans="1:21" s="34" customFormat="1" x14ac:dyDescent="0.25">
      <c r="A49" s="176"/>
      <c r="B49" s="176"/>
      <c r="C49" s="176"/>
      <c r="D49" s="7"/>
      <c r="E49" s="198"/>
      <c r="F49" s="59" t="s">
        <v>18</v>
      </c>
      <c r="G49" s="55" t="s">
        <v>16</v>
      </c>
      <c r="H49" s="25" t="s">
        <v>84</v>
      </c>
      <c r="I49" s="25" t="s">
        <v>68</v>
      </c>
      <c r="J49" s="25" t="s">
        <v>190</v>
      </c>
      <c r="K49" s="26" t="s">
        <v>7</v>
      </c>
      <c r="L49" s="44">
        <v>0</v>
      </c>
      <c r="M49" s="44">
        <v>0</v>
      </c>
      <c r="N49" s="44">
        <v>60.216999999999999</v>
      </c>
      <c r="O49" s="44">
        <v>0</v>
      </c>
      <c r="P49" s="44">
        <v>0</v>
      </c>
      <c r="Q49" s="44">
        <v>0</v>
      </c>
      <c r="R49" s="99">
        <v>0</v>
      </c>
      <c r="S49" s="125"/>
      <c r="T49" s="125"/>
      <c r="U49" s="125"/>
    </row>
    <row r="50" spans="1:21" ht="28.5" customHeight="1" x14ac:dyDescent="0.25">
      <c r="A50" s="175" t="s">
        <v>68</v>
      </c>
      <c r="B50" s="175" t="s">
        <v>69</v>
      </c>
      <c r="C50" s="175" t="s">
        <v>86</v>
      </c>
      <c r="D50" s="7"/>
      <c r="E50" s="179" t="s">
        <v>56</v>
      </c>
      <c r="F50" s="177" t="s">
        <v>37</v>
      </c>
      <c r="G50" s="25" t="s">
        <v>25</v>
      </c>
      <c r="H50" s="25" t="s">
        <v>84</v>
      </c>
      <c r="I50" s="25" t="s">
        <v>68</v>
      </c>
      <c r="J50" s="25" t="s">
        <v>100</v>
      </c>
      <c r="K50" s="26" t="s">
        <v>8</v>
      </c>
      <c r="L50" s="44">
        <v>6908.2225399999998</v>
      </c>
      <c r="M50" s="44">
        <v>0</v>
      </c>
      <c r="N50" s="45">
        <v>0</v>
      </c>
      <c r="O50" s="45">
        <f>N50</f>
        <v>0</v>
      </c>
      <c r="P50" s="45">
        <f>O50</f>
        <v>0</v>
      </c>
      <c r="Q50" s="45">
        <f>O50</f>
        <v>0</v>
      </c>
      <c r="R50" s="98">
        <f>P50</f>
        <v>0</v>
      </c>
      <c r="S50" s="121"/>
      <c r="T50" s="121"/>
      <c r="U50" s="121"/>
    </row>
    <row r="51" spans="1:21" x14ac:dyDescent="0.25">
      <c r="A51" s="176"/>
      <c r="B51" s="176"/>
      <c r="C51" s="176"/>
      <c r="D51" s="7"/>
      <c r="E51" s="180"/>
      <c r="F51" s="180"/>
      <c r="G51" s="25" t="s">
        <v>25</v>
      </c>
      <c r="H51" s="25" t="s">
        <v>84</v>
      </c>
      <c r="I51" s="25" t="s">
        <v>68</v>
      </c>
      <c r="J51" s="25" t="s">
        <v>159</v>
      </c>
      <c r="K51" s="26" t="s">
        <v>199</v>
      </c>
      <c r="L51" s="44">
        <v>0</v>
      </c>
      <c r="M51" s="44">
        <v>7065.4</v>
      </c>
      <c r="N51" s="44">
        <v>7359.2</v>
      </c>
      <c r="O51" s="44">
        <v>7236</v>
      </c>
      <c r="P51" s="44">
        <v>7902</v>
      </c>
      <c r="Q51" s="44">
        <v>8236</v>
      </c>
      <c r="R51" s="99">
        <v>8236</v>
      </c>
      <c r="S51" s="121">
        <v>8236</v>
      </c>
      <c r="T51" s="121">
        <v>8565.4</v>
      </c>
      <c r="U51" s="121">
        <v>8908</v>
      </c>
    </row>
    <row r="52" spans="1:21" ht="33.75" x14ac:dyDescent="0.25">
      <c r="A52" s="175" t="s">
        <v>68</v>
      </c>
      <c r="B52" s="175" t="s">
        <v>69</v>
      </c>
      <c r="C52" s="175" t="s">
        <v>278</v>
      </c>
      <c r="D52" s="7"/>
      <c r="E52" s="179" t="s">
        <v>300</v>
      </c>
      <c r="F52" s="117" t="s">
        <v>37</v>
      </c>
      <c r="G52" s="25" t="s">
        <v>25</v>
      </c>
      <c r="H52" s="25" t="s">
        <v>84</v>
      </c>
      <c r="I52" s="25" t="s">
        <v>68</v>
      </c>
      <c r="J52" s="25" t="s">
        <v>294</v>
      </c>
      <c r="K52" s="26" t="s">
        <v>7</v>
      </c>
      <c r="L52" s="44"/>
      <c r="M52" s="44"/>
      <c r="N52" s="44"/>
      <c r="O52" s="44"/>
      <c r="P52" s="44">
        <v>5000</v>
      </c>
      <c r="Q52" s="44">
        <v>0</v>
      </c>
      <c r="R52" s="99">
        <v>0</v>
      </c>
      <c r="S52" s="121"/>
      <c r="T52" s="121"/>
      <c r="U52" s="121"/>
    </row>
    <row r="53" spans="1:21" x14ac:dyDescent="0.25">
      <c r="A53" s="181"/>
      <c r="B53" s="181"/>
      <c r="C53" s="181"/>
      <c r="D53" s="7"/>
      <c r="E53" s="177"/>
      <c r="F53" s="177" t="s">
        <v>18</v>
      </c>
      <c r="G53" s="25" t="s">
        <v>16</v>
      </c>
      <c r="H53" s="25" t="s">
        <v>84</v>
      </c>
      <c r="I53" s="25" t="s">
        <v>68</v>
      </c>
      <c r="J53" s="25" t="s">
        <v>302</v>
      </c>
      <c r="K53" s="26" t="s">
        <v>295</v>
      </c>
      <c r="L53" s="44"/>
      <c r="M53" s="44"/>
      <c r="N53" s="44"/>
      <c r="O53" s="44"/>
      <c r="P53" s="44">
        <v>4.7289599999999998</v>
      </c>
      <c r="Q53" s="44"/>
      <c r="R53" s="99"/>
      <c r="S53" s="121"/>
      <c r="T53" s="121"/>
      <c r="U53" s="121"/>
    </row>
    <row r="54" spans="1:21" ht="60" customHeight="1" x14ac:dyDescent="0.25">
      <c r="A54" s="176"/>
      <c r="B54" s="176"/>
      <c r="C54" s="176"/>
      <c r="D54" s="7"/>
      <c r="E54" s="180"/>
      <c r="F54" s="178"/>
      <c r="G54" s="25" t="s">
        <v>16</v>
      </c>
      <c r="H54" s="25" t="s">
        <v>84</v>
      </c>
      <c r="I54" s="25" t="s">
        <v>68</v>
      </c>
      <c r="J54" s="25" t="s">
        <v>294</v>
      </c>
      <c r="K54" s="26" t="s">
        <v>295</v>
      </c>
      <c r="L54" s="44"/>
      <c r="M54" s="44"/>
      <c r="N54" s="44"/>
      <c r="O54" s="44"/>
      <c r="P54" s="44">
        <v>47284.800000000003</v>
      </c>
      <c r="Q54" s="44">
        <v>452.26602000000003</v>
      </c>
      <c r="R54" s="99"/>
      <c r="S54" s="121"/>
      <c r="T54" s="121"/>
      <c r="U54" s="121"/>
    </row>
    <row r="55" spans="1:21" ht="45" customHeight="1" x14ac:dyDescent="0.25">
      <c r="A55" s="175" t="s">
        <v>68</v>
      </c>
      <c r="B55" s="175" t="s">
        <v>69</v>
      </c>
      <c r="C55" s="175" t="s">
        <v>258</v>
      </c>
      <c r="D55" s="7"/>
      <c r="E55" s="179" t="s">
        <v>259</v>
      </c>
      <c r="F55" s="209" t="s">
        <v>18</v>
      </c>
      <c r="G55" s="25" t="s">
        <v>16</v>
      </c>
      <c r="H55" s="25" t="s">
        <v>84</v>
      </c>
      <c r="I55" s="25" t="s">
        <v>68</v>
      </c>
      <c r="J55" s="25" t="s">
        <v>286</v>
      </c>
      <c r="K55" s="26" t="s">
        <v>296</v>
      </c>
      <c r="L55" s="44"/>
      <c r="M55" s="44"/>
      <c r="N55" s="44"/>
      <c r="O55" s="44">
        <v>4.5</v>
      </c>
      <c r="P55" s="44">
        <v>0</v>
      </c>
      <c r="Q55" s="44">
        <v>0</v>
      </c>
      <c r="R55" s="99">
        <v>0</v>
      </c>
      <c r="S55" s="121"/>
      <c r="T55" s="121"/>
      <c r="U55" s="121"/>
    </row>
    <row r="56" spans="1:21" x14ac:dyDescent="0.25">
      <c r="A56" s="181"/>
      <c r="B56" s="181"/>
      <c r="C56" s="181"/>
      <c r="D56" s="7"/>
      <c r="E56" s="177"/>
      <c r="F56" s="210"/>
      <c r="G56" s="25" t="s">
        <v>16</v>
      </c>
      <c r="H56" s="25" t="s">
        <v>84</v>
      </c>
      <c r="I56" s="25" t="s">
        <v>68</v>
      </c>
      <c r="J56" s="25" t="s">
        <v>301</v>
      </c>
      <c r="K56" s="26" t="s">
        <v>295</v>
      </c>
      <c r="L56" s="44"/>
      <c r="M56" s="44"/>
      <c r="N56" s="44"/>
      <c r="O56" s="44"/>
      <c r="P56" s="44">
        <v>1373.4570699999999</v>
      </c>
      <c r="Q56" s="44"/>
      <c r="R56" s="99"/>
      <c r="S56" s="121"/>
      <c r="T56" s="121"/>
      <c r="U56" s="121"/>
    </row>
    <row r="57" spans="1:21" ht="25.5" x14ac:dyDescent="0.25">
      <c r="A57" s="176"/>
      <c r="B57" s="176"/>
      <c r="C57" s="176"/>
      <c r="D57" s="7"/>
      <c r="E57" s="180"/>
      <c r="F57" s="210"/>
      <c r="G57" s="25" t="s">
        <v>16</v>
      </c>
      <c r="H57" s="25" t="s">
        <v>84</v>
      </c>
      <c r="I57" s="25" t="s">
        <v>68</v>
      </c>
      <c r="J57" s="25" t="s">
        <v>287</v>
      </c>
      <c r="K57" s="26" t="s">
        <v>288</v>
      </c>
      <c r="L57" s="44"/>
      <c r="M57" s="44"/>
      <c r="N57" s="44"/>
      <c r="O57" s="44">
        <v>149010.4</v>
      </c>
      <c r="P57" s="44">
        <v>0</v>
      </c>
      <c r="Q57" s="44">
        <v>0</v>
      </c>
      <c r="R57" s="99">
        <v>0</v>
      </c>
      <c r="S57" s="121"/>
      <c r="T57" s="121"/>
      <c r="U57" s="121"/>
    </row>
    <row r="58" spans="1:21" ht="33.75" x14ac:dyDescent="0.25">
      <c r="A58" s="175" t="s">
        <v>68</v>
      </c>
      <c r="B58" s="175" t="s">
        <v>69</v>
      </c>
      <c r="C58" s="175" t="s">
        <v>264</v>
      </c>
      <c r="D58" s="7"/>
      <c r="E58" s="179" t="s">
        <v>265</v>
      </c>
      <c r="F58" s="76" t="s">
        <v>37</v>
      </c>
      <c r="G58" s="25" t="s">
        <v>25</v>
      </c>
      <c r="H58" s="25" t="s">
        <v>84</v>
      </c>
      <c r="I58" s="25" t="s">
        <v>68</v>
      </c>
      <c r="J58" s="25" t="s">
        <v>289</v>
      </c>
      <c r="K58" s="26" t="s">
        <v>297</v>
      </c>
      <c r="L58" s="44"/>
      <c r="M58" s="44"/>
      <c r="N58" s="44"/>
      <c r="O58" s="44">
        <v>65.400000000000006</v>
      </c>
      <c r="P58" s="44">
        <v>531.88080000000002</v>
      </c>
      <c r="Q58" s="44">
        <v>530.68717000000004</v>
      </c>
      <c r="R58" s="99">
        <v>0</v>
      </c>
      <c r="S58" s="121"/>
      <c r="T58" s="121"/>
      <c r="U58" s="121"/>
    </row>
    <row r="59" spans="1:21" x14ac:dyDescent="0.25">
      <c r="A59" s="181"/>
      <c r="B59" s="181"/>
      <c r="C59" s="181"/>
      <c r="D59" s="7"/>
      <c r="E59" s="177"/>
      <c r="F59" s="179" t="s">
        <v>18</v>
      </c>
      <c r="G59" s="25" t="s">
        <v>16</v>
      </c>
      <c r="H59" s="25" t="s">
        <v>84</v>
      </c>
      <c r="I59" s="25" t="s">
        <v>68</v>
      </c>
      <c r="J59" s="25" t="s">
        <v>290</v>
      </c>
      <c r="K59" s="26" t="s">
        <v>188</v>
      </c>
      <c r="L59" s="44"/>
      <c r="M59" s="44"/>
      <c r="N59" s="44"/>
      <c r="O59" s="44">
        <v>0.4</v>
      </c>
      <c r="P59" s="44">
        <v>82.809209999999993</v>
      </c>
      <c r="Q59" s="44">
        <v>8.4899999999999993E-3</v>
      </c>
      <c r="R59" s="99">
        <v>0</v>
      </c>
      <c r="S59" s="121"/>
      <c r="T59" s="121"/>
      <c r="U59" s="121"/>
    </row>
    <row r="60" spans="1:21" x14ac:dyDescent="0.25">
      <c r="A60" s="176"/>
      <c r="B60" s="176"/>
      <c r="C60" s="176"/>
      <c r="D60" s="7"/>
      <c r="E60" s="180"/>
      <c r="F60" s="180"/>
      <c r="G60" s="25" t="s">
        <v>16</v>
      </c>
      <c r="H60" s="25" t="s">
        <v>84</v>
      </c>
      <c r="I60" s="25" t="s">
        <v>68</v>
      </c>
      <c r="J60" s="25" t="s">
        <v>289</v>
      </c>
      <c r="K60" s="26" t="s">
        <v>188</v>
      </c>
      <c r="L60" s="44"/>
      <c r="M60" s="44"/>
      <c r="N60" s="44"/>
      <c r="O60" s="44">
        <v>4277.6000000000004</v>
      </c>
      <c r="P60" s="44">
        <v>22468.14244</v>
      </c>
      <c r="Q60" s="44">
        <v>12164.96408</v>
      </c>
      <c r="R60" s="99">
        <v>0</v>
      </c>
      <c r="S60" s="121"/>
      <c r="T60" s="121"/>
      <c r="U60" s="121"/>
    </row>
    <row r="61" spans="1:21" s="37" customFormat="1" ht="12.95" customHeight="1" x14ac:dyDescent="0.25">
      <c r="A61" s="186" t="s">
        <v>68</v>
      </c>
      <c r="B61" s="186" t="s">
        <v>70</v>
      </c>
      <c r="C61" s="186"/>
      <c r="D61" s="186"/>
      <c r="E61" s="187" t="s">
        <v>269</v>
      </c>
      <c r="F61" s="19" t="s">
        <v>36</v>
      </c>
      <c r="G61" s="27"/>
      <c r="H61" s="27"/>
      <c r="I61" s="27"/>
      <c r="J61" s="27"/>
      <c r="K61" s="27"/>
      <c r="L61" s="42">
        <f t="shared" ref="L61:U61" si="6">L62+L63</f>
        <v>360907.74084999994</v>
      </c>
      <c r="M61" s="42">
        <f t="shared" si="6"/>
        <v>371376.06018000009</v>
      </c>
      <c r="N61" s="42">
        <f t="shared" si="6"/>
        <v>382373.16500000004</v>
      </c>
      <c r="O61" s="42">
        <f t="shared" si="6"/>
        <v>442406.80000000005</v>
      </c>
      <c r="P61" s="42">
        <f>P62+P63</f>
        <v>494694.61470000003</v>
      </c>
      <c r="Q61" s="42">
        <f>SUM(Q64:Q119)</f>
        <v>468843.23334000004</v>
      </c>
      <c r="R61" s="42">
        <f t="shared" si="6"/>
        <v>449229.7</v>
      </c>
      <c r="S61" s="42">
        <f t="shared" si="6"/>
        <v>440449.9</v>
      </c>
      <c r="T61" s="42">
        <f t="shared" si="6"/>
        <v>458067.8</v>
      </c>
      <c r="U61" s="42">
        <f t="shared" si="6"/>
        <v>476390.60000000003</v>
      </c>
    </row>
    <row r="62" spans="1:21" s="37" customFormat="1" ht="12.95" customHeight="1" x14ac:dyDescent="0.25">
      <c r="A62" s="186"/>
      <c r="B62" s="186"/>
      <c r="C62" s="186"/>
      <c r="D62" s="186"/>
      <c r="E62" s="187"/>
      <c r="F62" s="20" t="s">
        <v>18</v>
      </c>
      <c r="G62" s="27" t="s">
        <v>16</v>
      </c>
      <c r="H62" s="27"/>
      <c r="I62" s="27"/>
      <c r="J62" s="27"/>
      <c r="K62" s="27"/>
      <c r="L62" s="42">
        <f>L82+L87+L95</f>
        <v>48.920259999999999</v>
      </c>
      <c r="M62" s="42">
        <f>M83+M113+M84+M86+M108</f>
        <v>4039.1382800000001</v>
      </c>
      <c r="N62" s="42">
        <f>N94+N109+N110+N111+N112</f>
        <v>182.4</v>
      </c>
      <c r="O62" s="42">
        <f>O84+O94+O111+O112</f>
        <v>176</v>
      </c>
      <c r="P62" s="42">
        <f>P85+P110+P112</f>
        <v>26300.032700000003</v>
      </c>
      <c r="Q62" s="42">
        <f>Q110+Q112</f>
        <v>24123.677339999998</v>
      </c>
      <c r="R62" s="42">
        <f>R110+R112</f>
        <v>0</v>
      </c>
      <c r="S62" s="42">
        <f>S110+S112</f>
        <v>0</v>
      </c>
      <c r="T62" s="42">
        <f>T110+T112</f>
        <v>0</v>
      </c>
      <c r="U62" s="42">
        <f>U110+U112</f>
        <v>0</v>
      </c>
    </row>
    <row r="63" spans="1:21" s="37" customFormat="1" ht="33.75" x14ac:dyDescent="0.25">
      <c r="A63" s="186"/>
      <c r="B63" s="186"/>
      <c r="C63" s="186"/>
      <c r="D63" s="186"/>
      <c r="E63" s="187"/>
      <c r="F63" s="20" t="s">
        <v>37</v>
      </c>
      <c r="G63" s="24" t="s">
        <v>25</v>
      </c>
      <c r="H63" s="24"/>
      <c r="I63" s="24"/>
      <c r="J63" s="24"/>
      <c r="K63" s="24"/>
      <c r="L63" s="43">
        <f>L64+L65+L66+L67+L69+L70+L71+L77+L80+L81+L88+L91+L92+L96+L97+L102+L114+L115+L116+L117</f>
        <v>360858.82058999996</v>
      </c>
      <c r="M63" s="43">
        <f>M65+M68+M78+M79+M80+M91+M97+M100+M101+M103+M104+M107+M115+M117+M89</f>
        <v>367336.92190000007</v>
      </c>
      <c r="N63" s="43">
        <f>N65+N68+N73+N74+N75+N76+N80+N91+N98+N100+N115+N117</f>
        <v>382190.76500000001</v>
      </c>
      <c r="O63" s="43">
        <f>O65+O73+O76+O79+O80+O90+O91+O98+O100+O117</f>
        <v>442230.80000000005</v>
      </c>
      <c r="P63" s="43">
        <f t="shared" ref="P63:U63" si="7">SUM(P64:P119)-P62</f>
        <v>468394.58200000005</v>
      </c>
      <c r="Q63" s="43">
        <f>Q65+Q80+Q91+Q99+Q100+Q117+Q118+Q119</f>
        <v>444719.55600000004</v>
      </c>
      <c r="R63" s="43">
        <f t="shared" si="7"/>
        <v>449229.7</v>
      </c>
      <c r="S63" s="43">
        <f t="shared" si="7"/>
        <v>440449.9</v>
      </c>
      <c r="T63" s="43">
        <f t="shared" si="7"/>
        <v>458067.8</v>
      </c>
      <c r="U63" s="43">
        <f t="shared" si="7"/>
        <v>476390.60000000003</v>
      </c>
    </row>
    <row r="64" spans="1:21" ht="18.75" customHeight="1" x14ac:dyDescent="0.25">
      <c r="A64" s="175" t="s">
        <v>68</v>
      </c>
      <c r="B64" s="175" t="s">
        <v>70</v>
      </c>
      <c r="C64" s="175" t="s">
        <v>68</v>
      </c>
      <c r="D64" s="7"/>
      <c r="E64" s="179" t="s">
        <v>163</v>
      </c>
      <c r="F64" s="179" t="s">
        <v>37</v>
      </c>
      <c r="G64" s="25" t="s">
        <v>25</v>
      </c>
      <c r="H64" s="25" t="s">
        <v>84</v>
      </c>
      <c r="I64" s="25" t="s">
        <v>76</v>
      </c>
      <c r="J64" s="25" t="s">
        <v>106</v>
      </c>
      <c r="K64" s="25" t="s">
        <v>5</v>
      </c>
      <c r="L64" s="45">
        <v>238319.7</v>
      </c>
      <c r="M64" s="45">
        <v>0</v>
      </c>
      <c r="N64" s="45">
        <v>0</v>
      </c>
      <c r="O64" s="45">
        <f>N64</f>
        <v>0</v>
      </c>
      <c r="P64" s="45">
        <f>O64</f>
        <v>0</v>
      </c>
      <c r="Q64" s="45">
        <f>O64</f>
        <v>0</v>
      </c>
      <c r="R64" s="98">
        <f>P64</f>
        <v>0</v>
      </c>
      <c r="S64" s="121"/>
      <c r="T64" s="121"/>
      <c r="U64" s="121"/>
    </row>
    <row r="65" spans="1:21" ht="25.5" x14ac:dyDescent="0.25">
      <c r="A65" s="181"/>
      <c r="B65" s="181"/>
      <c r="C65" s="181"/>
      <c r="D65" s="23"/>
      <c r="E65" s="177"/>
      <c r="F65" s="177"/>
      <c r="G65" s="25" t="s">
        <v>25</v>
      </c>
      <c r="H65" s="25" t="s">
        <v>84</v>
      </c>
      <c r="I65" s="25" t="s">
        <v>76</v>
      </c>
      <c r="J65" s="25" t="s">
        <v>162</v>
      </c>
      <c r="K65" s="26" t="s">
        <v>220</v>
      </c>
      <c r="L65" s="45">
        <v>0</v>
      </c>
      <c r="M65" s="45">
        <v>247824.2</v>
      </c>
      <c r="N65" s="45">
        <f>2556.73+256093.95+504</f>
        <v>259154.68000000002</v>
      </c>
      <c r="O65" s="45">
        <v>308755.40000000002</v>
      </c>
      <c r="P65" s="45">
        <f>2011.03541+326077.46459</f>
        <v>328088.5</v>
      </c>
      <c r="Q65" s="45">
        <f>1200.5+326841</f>
        <v>328041.5</v>
      </c>
      <c r="R65" s="98">
        <v>329122</v>
      </c>
      <c r="S65" s="121">
        <v>326841</v>
      </c>
      <c r="T65" s="121">
        <v>339914.6</v>
      </c>
      <c r="U65" s="121">
        <v>353511.2</v>
      </c>
    </row>
    <row r="66" spans="1:21" x14ac:dyDescent="0.25">
      <c r="A66" s="181"/>
      <c r="B66" s="181"/>
      <c r="C66" s="181"/>
      <c r="D66" s="23"/>
      <c r="E66" s="177"/>
      <c r="F66" s="177"/>
      <c r="G66" s="25" t="s">
        <v>25</v>
      </c>
      <c r="H66" s="25" t="s">
        <v>84</v>
      </c>
      <c r="I66" s="25" t="s">
        <v>76</v>
      </c>
      <c r="J66" s="25" t="s">
        <v>104</v>
      </c>
      <c r="K66" s="26" t="s">
        <v>9</v>
      </c>
      <c r="L66" s="44">
        <f>4646.19+161.739</f>
        <v>4807.9289999999992</v>
      </c>
      <c r="M66" s="44">
        <v>0</v>
      </c>
      <c r="N66" s="45">
        <v>0</v>
      </c>
      <c r="O66" s="45">
        <f>M66</f>
        <v>0</v>
      </c>
      <c r="P66" s="45">
        <f>O66</f>
        <v>0</v>
      </c>
      <c r="Q66" s="45">
        <v>0</v>
      </c>
      <c r="R66" s="98">
        <f>M66</f>
        <v>0</v>
      </c>
      <c r="S66" s="121"/>
      <c r="T66" s="121"/>
      <c r="U66" s="121"/>
    </row>
    <row r="67" spans="1:21" x14ac:dyDescent="0.25">
      <c r="A67" s="181"/>
      <c r="B67" s="181"/>
      <c r="C67" s="181"/>
      <c r="D67" s="23"/>
      <c r="E67" s="177"/>
      <c r="F67" s="177"/>
      <c r="G67" s="25" t="s">
        <v>25</v>
      </c>
      <c r="H67" s="25" t="s">
        <v>84</v>
      </c>
      <c r="I67" s="25" t="s">
        <v>85</v>
      </c>
      <c r="J67" s="25" t="s">
        <v>137</v>
      </c>
      <c r="K67" s="26" t="s">
        <v>7</v>
      </c>
      <c r="L67" s="45">
        <v>254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98">
        <v>0</v>
      </c>
      <c r="S67" s="121"/>
      <c r="T67" s="121"/>
      <c r="U67" s="121"/>
    </row>
    <row r="68" spans="1:21" x14ac:dyDescent="0.25">
      <c r="A68" s="181"/>
      <c r="B68" s="181"/>
      <c r="C68" s="181"/>
      <c r="D68" s="23"/>
      <c r="E68" s="177"/>
      <c r="F68" s="177"/>
      <c r="G68" s="25" t="s">
        <v>25</v>
      </c>
      <c r="H68" s="25" t="s">
        <v>84</v>
      </c>
      <c r="I68" s="25" t="s">
        <v>76</v>
      </c>
      <c r="J68" s="25" t="s">
        <v>175</v>
      </c>
      <c r="K68" s="26" t="s">
        <v>7</v>
      </c>
      <c r="L68" s="45">
        <v>0</v>
      </c>
      <c r="M68" s="45">
        <v>195</v>
      </c>
      <c r="N68" s="45">
        <v>426.983</v>
      </c>
      <c r="O68" s="45">
        <v>0</v>
      </c>
      <c r="P68" s="45">
        <v>0</v>
      </c>
      <c r="Q68" s="45">
        <v>0</v>
      </c>
      <c r="R68" s="98">
        <v>0</v>
      </c>
      <c r="S68" s="121"/>
      <c r="T68" s="121"/>
      <c r="U68" s="121"/>
    </row>
    <row r="69" spans="1:21" x14ac:dyDescent="0.25">
      <c r="A69" s="181"/>
      <c r="B69" s="181"/>
      <c r="C69" s="181"/>
      <c r="D69" s="23"/>
      <c r="E69" s="177"/>
      <c r="F69" s="177"/>
      <c r="G69" s="25" t="s">
        <v>25</v>
      </c>
      <c r="H69" s="25" t="s">
        <v>84</v>
      </c>
      <c r="I69" s="25" t="s">
        <v>76</v>
      </c>
      <c r="J69" s="25" t="s">
        <v>133</v>
      </c>
      <c r="K69" s="26" t="s">
        <v>7</v>
      </c>
      <c r="L69" s="45">
        <v>390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98">
        <v>0</v>
      </c>
      <c r="S69" s="121"/>
      <c r="T69" s="121"/>
      <c r="U69" s="121"/>
    </row>
    <row r="70" spans="1:21" x14ac:dyDescent="0.25">
      <c r="A70" s="181"/>
      <c r="B70" s="181"/>
      <c r="C70" s="181"/>
      <c r="D70" s="23"/>
      <c r="E70" s="177"/>
      <c r="F70" s="177"/>
      <c r="G70" s="25" t="s">
        <v>25</v>
      </c>
      <c r="H70" s="25" t="s">
        <v>84</v>
      </c>
      <c r="I70" s="25" t="s">
        <v>76</v>
      </c>
      <c r="J70" s="25" t="s">
        <v>129</v>
      </c>
      <c r="K70" s="26" t="s">
        <v>7</v>
      </c>
      <c r="L70" s="45">
        <v>3006.8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98">
        <v>0</v>
      </c>
      <c r="S70" s="121"/>
      <c r="T70" s="121"/>
      <c r="U70" s="121"/>
    </row>
    <row r="71" spans="1:21" x14ac:dyDescent="0.25">
      <c r="A71" s="181"/>
      <c r="B71" s="181"/>
      <c r="C71" s="181"/>
      <c r="D71" s="23"/>
      <c r="E71" s="177"/>
      <c r="F71" s="177"/>
      <c r="G71" s="25" t="s">
        <v>25</v>
      </c>
      <c r="H71" s="25" t="s">
        <v>84</v>
      </c>
      <c r="I71" s="25" t="s">
        <v>76</v>
      </c>
      <c r="J71" s="25" t="s">
        <v>139</v>
      </c>
      <c r="K71" s="26" t="s">
        <v>10</v>
      </c>
      <c r="L71" s="45">
        <v>392.36295999999999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98">
        <v>0</v>
      </c>
      <c r="S71" s="121"/>
      <c r="T71" s="121"/>
      <c r="U71" s="121"/>
    </row>
    <row r="72" spans="1:21" x14ac:dyDescent="0.25">
      <c r="A72" s="181"/>
      <c r="B72" s="181"/>
      <c r="C72" s="181"/>
      <c r="D72" s="23"/>
      <c r="E72" s="177"/>
      <c r="F72" s="177"/>
      <c r="G72" s="25" t="s">
        <v>25</v>
      </c>
      <c r="H72" s="25" t="s">
        <v>84</v>
      </c>
      <c r="I72" s="25" t="s">
        <v>76</v>
      </c>
      <c r="J72" s="25" t="s">
        <v>298</v>
      </c>
      <c r="K72" s="26" t="s">
        <v>7</v>
      </c>
      <c r="L72" s="45"/>
      <c r="M72" s="45"/>
      <c r="N72" s="45"/>
      <c r="O72" s="45"/>
      <c r="P72" s="45">
        <v>903.87</v>
      </c>
      <c r="Q72" s="45">
        <v>0</v>
      </c>
      <c r="R72" s="98">
        <v>0</v>
      </c>
      <c r="S72" s="121"/>
      <c r="T72" s="121"/>
      <c r="U72" s="121"/>
    </row>
    <row r="73" spans="1:21" x14ac:dyDescent="0.25">
      <c r="A73" s="181"/>
      <c r="B73" s="181"/>
      <c r="C73" s="181"/>
      <c r="D73" s="23"/>
      <c r="E73" s="177"/>
      <c r="F73" s="177"/>
      <c r="G73" s="25" t="s">
        <v>25</v>
      </c>
      <c r="H73" s="25" t="s">
        <v>84</v>
      </c>
      <c r="I73" s="25" t="s">
        <v>76</v>
      </c>
      <c r="J73" s="25" t="s">
        <v>211</v>
      </c>
      <c r="K73" s="26" t="s">
        <v>7</v>
      </c>
      <c r="L73" s="45">
        <v>0</v>
      </c>
      <c r="M73" s="45">
        <v>0</v>
      </c>
      <c r="N73" s="45">
        <v>260</v>
      </c>
      <c r="O73" s="45">
        <v>323</v>
      </c>
      <c r="P73" s="45">
        <v>369.38200000000001</v>
      </c>
      <c r="Q73" s="45">
        <v>0</v>
      </c>
      <c r="R73" s="98">
        <v>0</v>
      </c>
      <c r="S73" s="121"/>
      <c r="T73" s="121"/>
      <c r="U73" s="121"/>
    </row>
    <row r="74" spans="1:21" x14ac:dyDescent="0.25">
      <c r="A74" s="181"/>
      <c r="B74" s="181"/>
      <c r="C74" s="181"/>
      <c r="D74" s="23"/>
      <c r="E74" s="177"/>
      <c r="F74" s="177"/>
      <c r="G74" s="25" t="s">
        <v>25</v>
      </c>
      <c r="H74" s="25" t="s">
        <v>84</v>
      </c>
      <c r="I74" s="25" t="s">
        <v>76</v>
      </c>
      <c r="J74" s="25" t="s">
        <v>212</v>
      </c>
      <c r="K74" s="26" t="s">
        <v>7</v>
      </c>
      <c r="L74" s="45">
        <v>0</v>
      </c>
      <c r="M74" s="45">
        <v>0</v>
      </c>
      <c r="N74" s="45">
        <v>1533.9</v>
      </c>
      <c r="O74" s="45">
        <v>0</v>
      </c>
      <c r="P74" s="45">
        <v>0</v>
      </c>
      <c r="Q74" s="45">
        <v>0</v>
      </c>
      <c r="R74" s="98">
        <v>0</v>
      </c>
      <c r="S74" s="121"/>
      <c r="T74" s="121"/>
      <c r="U74" s="121"/>
    </row>
    <row r="75" spans="1:21" x14ac:dyDescent="0.25">
      <c r="A75" s="181"/>
      <c r="B75" s="181"/>
      <c r="C75" s="181"/>
      <c r="D75" s="23"/>
      <c r="E75" s="177"/>
      <c r="F75" s="177"/>
      <c r="G75" s="25" t="s">
        <v>25</v>
      </c>
      <c r="H75" s="25" t="s">
        <v>84</v>
      </c>
      <c r="I75" s="25" t="s">
        <v>76</v>
      </c>
      <c r="J75" s="25" t="s">
        <v>198</v>
      </c>
      <c r="K75" s="26" t="s">
        <v>7</v>
      </c>
      <c r="L75" s="45">
        <v>0</v>
      </c>
      <c r="M75" s="45">
        <v>0</v>
      </c>
      <c r="N75" s="45">
        <v>677.64876000000004</v>
      </c>
      <c r="O75" s="45">
        <v>0</v>
      </c>
      <c r="P75" s="45">
        <v>0</v>
      </c>
      <c r="Q75" s="45">
        <v>0</v>
      </c>
      <c r="R75" s="98">
        <v>0</v>
      </c>
      <c r="S75" s="121"/>
      <c r="T75" s="121"/>
      <c r="U75" s="121"/>
    </row>
    <row r="76" spans="1:21" x14ac:dyDescent="0.25">
      <c r="A76" s="181"/>
      <c r="B76" s="181"/>
      <c r="C76" s="181"/>
      <c r="D76" s="23"/>
      <c r="E76" s="177"/>
      <c r="F76" s="177"/>
      <c r="G76" s="25" t="s">
        <v>25</v>
      </c>
      <c r="H76" s="25" t="s">
        <v>84</v>
      </c>
      <c r="I76" s="25" t="s">
        <v>76</v>
      </c>
      <c r="J76" s="25" t="s">
        <v>221</v>
      </c>
      <c r="K76" s="26" t="s">
        <v>5</v>
      </c>
      <c r="L76" s="45">
        <v>0</v>
      </c>
      <c r="M76" s="45">
        <v>0</v>
      </c>
      <c r="N76" s="45">
        <v>15.494</v>
      </c>
      <c r="O76" s="45">
        <v>1389.5</v>
      </c>
      <c r="P76" s="45">
        <v>0</v>
      </c>
      <c r="Q76" s="45">
        <v>0</v>
      </c>
      <c r="R76" s="98">
        <v>0</v>
      </c>
      <c r="S76" s="121"/>
      <c r="T76" s="121"/>
      <c r="U76" s="121"/>
    </row>
    <row r="77" spans="1:21" x14ac:dyDescent="0.25">
      <c r="A77" s="181"/>
      <c r="B77" s="181"/>
      <c r="C77" s="181"/>
      <c r="D77" s="23"/>
      <c r="E77" s="177"/>
      <c r="F77" s="177"/>
      <c r="G77" s="25" t="s">
        <v>25</v>
      </c>
      <c r="H77" s="25" t="s">
        <v>84</v>
      </c>
      <c r="I77" s="25" t="s">
        <v>76</v>
      </c>
      <c r="J77" s="25" t="s">
        <v>144</v>
      </c>
      <c r="K77" s="26" t="s">
        <v>7</v>
      </c>
      <c r="L77" s="45">
        <v>300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98">
        <v>0</v>
      </c>
      <c r="S77" s="121"/>
      <c r="T77" s="121"/>
      <c r="U77" s="121"/>
    </row>
    <row r="78" spans="1:21" x14ac:dyDescent="0.25">
      <c r="A78" s="181"/>
      <c r="B78" s="181"/>
      <c r="C78" s="181"/>
      <c r="D78" s="23"/>
      <c r="E78" s="177"/>
      <c r="F78" s="177"/>
      <c r="G78" s="25" t="s">
        <v>25</v>
      </c>
      <c r="H78" s="25" t="s">
        <v>84</v>
      </c>
      <c r="I78" s="25" t="s">
        <v>85</v>
      </c>
      <c r="J78" s="25" t="s">
        <v>193</v>
      </c>
      <c r="K78" s="26" t="s">
        <v>7</v>
      </c>
      <c r="L78" s="45">
        <v>0</v>
      </c>
      <c r="M78" s="45">
        <v>1659.6</v>
      </c>
      <c r="N78" s="45">
        <v>0</v>
      </c>
      <c r="O78" s="45">
        <v>0</v>
      </c>
      <c r="P78" s="45">
        <v>0</v>
      </c>
      <c r="Q78" s="45">
        <v>0</v>
      </c>
      <c r="R78" s="98">
        <v>0</v>
      </c>
      <c r="S78" s="121"/>
      <c r="T78" s="121"/>
      <c r="U78" s="121"/>
    </row>
    <row r="79" spans="1:21" x14ac:dyDescent="0.25">
      <c r="A79" s="181"/>
      <c r="B79" s="181"/>
      <c r="C79" s="181"/>
      <c r="D79" s="23"/>
      <c r="E79" s="177"/>
      <c r="F79" s="177"/>
      <c r="G79" s="25" t="s">
        <v>25</v>
      </c>
      <c r="H79" s="25" t="s">
        <v>84</v>
      </c>
      <c r="I79" s="25" t="s">
        <v>76</v>
      </c>
      <c r="J79" s="25" t="s">
        <v>178</v>
      </c>
      <c r="K79" s="26" t="s">
        <v>7</v>
      </c>
      <c r="L79" s="45">
        <v>0</v>
      </c>
      <c r="M79" s="45">
        <v>177.2</v>
      </c>
      <c r="N79" s="45">
        <v>0</v>
      </c>
      <c r="O79" s="45">
        <v>652.5</v>
      </c>
      <c r="P79" s="45">
        <v>845</v>
      </c>
      <c r="Q79" s="45">
        <v>0</v>
      </c>
      <c r="R79" s="98">
        <v>0</v>
      </c>
      <c r="S79" s="121"/>
      <c r="T79" s="121"/>
      <c r="U79" s="121"/>
    </row>
    <row r="80" spans="1:21" x14ac:dyDescent="0.25">
      <c r="A80" s="181"/>
      <c r="B80" s="181"/>
      <c r="C80" s="181"/>
      <c r="D80" s="23"/>
      <c r="E80" s="177"/>
      <c r="F80" s="177"/>
      <c r="G80" s="25" t="s">
        <v>25</v>
      </c>
      <c r="H80" s="25" t="s">
        <v>84</v>
      </c>
      <c r="I80" s="25" t="s">
        <v>76</v>
      </c>
      <c r="J80" s="25" t="s">
        <v>164</v>
      </c>
      <c r="K80" s="26" t="s">
        <v>218</v>
      </c>
      <c r="L80" s="45">
        <v>0</v>
      </c>
      <c r="M80" s="45">
        <v>52887.143179999999</v>
      </c>
      <c r="N80" s="45">
        <f>48862.55924+9954</f>
        <v>58816.559240000002</v>
      </c>
      <c r="O80" s="45">
        <v>64085.7</v>
      </c>
      <c r="P80" s="45">
        <f>48855.406+19404.979</f>
        <v>68260.385000000009</v>
      </c>
      <c r="Q80" s="45">
        <f>50422.6+336.1</f>
        <v>50758.7</v>
      </c>
      <c r="R80" s="98">
        <v>51208.7</v>
      </c>
      <c r="S80" s="121">
        <v>51208.7</v>
      </c>
      <c r="T80" s="121">
        <v>53257</v>
      </c>
      <c r="U80" s="121">
        <v>55387.3</v>
      </c>
    </row>
    <row r="81" spans="1:21" x14ac:dyDescent="0.25">
      <c r="A81" s="181"/>
      <c r="B81" s="181"/>
      <c r="C81" s="181"/>
      <c r="D81" s="175"/>
      <c r="E81" s="177"/>
      <c r="F81" s="180"/>
      <c r="G81" s="25" t="s">
        <v>25</v>
      </c>
      <c r="H81" s="25" t="s">
        <v>84</v>
      </c>
      <c r="I81" s="25" t="s">
        <v>76</v>
      </c>
      <c r="J81" s="25" t="s">
        <v>110</v>
      </c>
      <c r="K81" s="26" t="s">
        <v>5</v>
      </c>
      <c r="L81" s="45">
        <v>54463.751270000001</v>
      </c>
      <c r="M81" s="45">
        <v>0</v>
      </c>
      <c r="N81" s="45">
        <v>0</v>
      </c>
      <c r="O81" s="45">
        <f>N81</f>
        <v>0</v>
      </c>
      <c r="P81" s="45">
        <f>O81</f>
        <v>0</v>
      </c>
      <c r="Q81" s="45">
        <f>O81</f>
        <v>0</v>
      </c>
      <c r="R81" s="98">
        <f>P81</f>
        <v>0</v>
      </c>
      <c r="S81" s="121"/>
      <c r="T81" s="121"/>
      <c r="U81" s="121"/>
    </row>
    <row r="82" spans="1:21" x14ac:dyDescent="0.25">
      <c r="A82" s="181"/>
      <c r="B82" s="181"/>
      <c r="C82" s="181"/>
      <c r="D82" s="181"/>
      <c r="E82" s="177"/>
      <c r="F82" s="179" t="s">
        <v>18</v>
      </c>
      <c r="G82" s="25" t="s">
        <v>16</v>
      </c>
      <c r="H82" s="25" t="s">
        <v>84</v>
      </c>
      <c r="I82" s="25" t="s">
        <v>76</v>
      </c>
      <c r="J82" s="25" t="s">
        <v>110</v>
      </c>
      <c r="K82" s="26" t="s">
        <v>7</v>
      </c>
      <c r="L82" s="46">
        <v>18.314260000000001</v>
      </c>
      <c r="M82" s="45">
        <v>0</v>
      </c>
      <c r="N82" s="45">
        <v>0</v>
      </c>
      <c r="O82" s="45">
        <v>0</v>
      </c>
      <c r="P82" s="45">
        <f t="shared" ref="P82:P88" si="8">O82</f>
        <v>0</v>
      </c>
      <c r="Q82" s="45">
        <f>O82</f>
        <v>0</v>
      </c>
      <c r="R82" s="98">
        <f>P82</f>
        <v>0</v>
      </c>
      <c r="S82" s="121"/>
      <c r="T82" s="121"/>
      <c r="U82" s="121"/>
    </row>
    <row r="83" spans="1:21" x14ac:dyDescent="0.25">
      <c r="A83" s="181"/>
      <c r="B83" s="181"/>
      <c r="C83" s="181"/>
      <c r="D83" s="181"/>
      <c r="E83" s="177"/>
      <c r="F83" s="177"/>
      <c r="G83" s="25" t="s">
        <v>16</v>
      </c>
      <c r="H83" s="25" t="s">
        <v>84</v>
      </c>
      <c r="I83" s="25" t="s">
        <v>76</v>
      </c>
      <c r="J83" s="25" t="s">
        <v>175</v>
      </c>
      <c r="K83" s="26" t="s">
        <v>7</v>
      </c>
      <c r="L83" s="46">
        <v>0</v>
      </c>
      <c r="M83" s="45">
        <v>6</v>
      </c>
      <c r="N83" s="45">
        <v>0</v>
      </c>
      <c r="O83" s="45">
        <v>0</v>
      </c>
      <c r="P83" s="45">
        <v>0</v>
      </c>
      <c r="Q83" s="45">
        <v>0</v>
      </c>
      <c r="R83" s="98">
        <v>0</v>
      </c>
      <c r="S83" s="121"/>
      <c r="T83" s="121"/>
      <c r="U83" s="121"/>
    </row>
    <row r="84" spans="1:21" x14ac:dyDescent="0.25">
      <c r="A84" s="181"/>
      <c r="B84" s="181"/>
      <c r="C84" s="181"/>
      <c r="D84" s="181"/>
      <c r="E84" s="177"/>
      <c r="F84" s="177"/>
      <c r="G84" s="25" t="s">
        <v>16</v>
      </c>
      <c r="H84" s="25" t="s">
        <v>84</v>
      </c>
      <c r="I84" s="25" t="s">
        <v>76</v>
      </c>
      <c r="J84" s="25" t="s">
        <v>198</v>
      </c>
      <c r="K84" s="26" t="s">
        <v>7</v>
      </c>
      <c r="L84" s="46">
        <v>0</v>
      </c>
      <c r="M84" s="45">
        <v>3</v>
      </c>
      <c r="N84" s="45">
        <v>0</v>
      </c>
      <c r="O84" s="45">
        <v>150</v>
      </c>
      <c r="P84" s="45">
        <v>0</v>
      </c>
      <c r="Q84" s="45">
        <v>0</v>
      </c>
      <c r="R84" s="98">
        <v>0</v>
      </c>
      <c r="S84" s="121"/>
      <c r="T84" s="121"/>
      <c r="U84" s="121"/>
    </row>
    <row r="85" spans="1:21" x14ac:dyDescent="0.25">
      <c r="A85" s="181"/>
      <c r="B85" s="181"/>
      <c r="C85" s="181"/>
      <c r="D85" s="181"/>
      <c r="E85" s="177"/>
      <c r="F85" s="177"/>
      <c r="G85" s="25" t="s">
        <v>16</v>
      </c>
      <c r="H85" s="25" t="s">
        <v>84</v>
      </c>
      <c r="I85" s="25" t="s">
        <v>76</v>
      </c>
      <c r="J85" s="25" t="s">
        <v>303</v>
      </c>
      <c r="K85" s="26" t="s">
        <v>7</v>
      </c>
      <c r="L85" s="46"/>
      <c r="M85" s="45"/>
      <c r="N85" s="45"/>
      <c r="O85" s="45"/>
      <c r="P85" s="45">
        <v>1070</v>
      </c>
      <c r="Q85" s="45"/>
      <c r="R85" s="98"/>
      <c r="S85" s="121"/>
      <c r="T85" s="121"/>
      <c r="U85" s="121"/>
    </row>
    <row r="86" spans="1:21" x14ac:dyDescent="0.25">
      <c r="A86" s="181"/>
      <c r="B86" s="181"/>
      <c r="C86" s="181"/>
      <c r="D86" s="181"/>
      <c r="E86" s="177"/>
      <c r="F86" s="177"/>
      <c r="G86" s="25" t="s">
        <v>16</v>
      </c>
      <c r="H86" s="25" t="s">
        <v>84</v>
      </c>
      <c r="I86" s="25" t="s">
        <v>76</v>
      </c>
      <c r="J86" s="25" t="s">
        <v>164</v>
      </c>
      <c r="K86" s="26" t="s">
        <v>7</v>
      </c>
      <c r="L86" s="46">
        <v>0</v>
      </c>
      <c r="M86" s="45">
        <v>5</v>
      </c>
      <c r="N86" s="45">
        <v>0</v>
      </c>
      <c r="O86" s="45">
        <v>0</v>
      </c>
      <c r="P86" s="45">
        <v>0</v>
      </c>
      <c r="Q86" s="45">
        <v>0</v>
      </c>
      <c r="R86" s="98">
        <v>0</v>
      </c>
      <c r="S86" s="121"/>
      <c r="T86" s="121"/>
      <c r="U86" s="121"/>
    </row>
    <row r="87" spans="1:21" x14ac:dyDescent="0.25">
      <c r="A87" s="176"/>
      <c r="B87" s="176"/>
      <c r="C87" s="176"/>
      <c r="D87" s="176"/>
      <c r="E87" s="180"/>
      <c r="F87" s="180"/>
      <c r="G87" s="25" t="s">
        <v>16</v>
      </c>
      <c r="H87" s="25" t="s">
        <v>84</v>
      </c>
      <c r="I87" s="25" t="s">
        <v>76</v>
      </c>
      <c r="J87" s="25" t="s">
        <v>131</v>
      </c>
      <c r="K87" s="26" t="s">
        <v>7</v>
      </c>
      <c r="L87" s="46">
        <v>12.606</v>
      </c>
      <c r="M87" s="45">
        <v>0</v>
      </c>
      <c r="N87" s="45">
        <v>0</v>
      </c>
      <c r="O87" s="45">
        <v>0</v>
      </c>
      <c r="P87" s="45">
        <f t="shared" si="8"/>
        <v>0</v>
      </c>
      <c r="Q87" s="45">
        <f>O87</f>
        <v>0</v>
      </c>
      <c r="R87" s="98">
        <f>P87</f>
        <v>0</v>
      </c>
      <c r="S87" s="121"/>
      <c r="T87" s="121"/>
      <c r="U87" s="121"/>
    </row>
    <row r="88" spans="1:21" ht="44.25" customHeight="1" x14ac:dyDescent="0.25">
      <c r="A88" s="175" t="s">
        <v>68</v>
      </c>
      <c r="B88" s="175" t="s">
        <v>70</v>
      </c>
      <c r="C88" s="175" t="s">
        <v>76</v>
      </c>
      <c r="D88" s="7"/>
      <c r="E88" s="194" t="s">
        <v>39</v>
      </c>
      <c r="F88" s="179" t="s">
        <v>37</v>
      </c>
      <c r="G88" s="25" t="s">
        <v>25</v>
      </c>
      <c r="H88" s="25" t="s">
        <v>84</v>
      </c>
      <c r="I88" s="25" t="s">
        <v>76</v>
      </c>
      <c r="J88" s="25" t="s">
        <v>107</v>
      </c>
      <c r="K88" s="26" t="s">
        <v>171</v>
      </c>
      <c r="L88" s="45">
        <v>36458.1</v>
      </c>
      <c r="M88" s="45">
        <v>0</v>
      </c>
      <c r="N88" s="45">
        <v>0</v>
      </c>
      <c r="O88" s="45">
        <f>N88</f>
        <v>0</v>
      </c>
      <c r="P88" s="45">
        <f t="shared" si="8"/>
        <v>0</v>
      </c>
      <c r="Q88" s="45">
        <f>O88</f>
        <v>0</v>
      </c>
      <c r="R88" s="98">
        <f>P88</f>
        <v>0</v>
      </c>
      <c r="S88" s="121"/>
      <c r="T88" s="121"/>
      <c r="U88" s="121"/>
    </row>
    <row r="89" spans="1:21" x14ac:dyDescent="0.25">
      <c r="A89" s="181"/>
      <c r="B89" s="181"/>
      <c r="C89" s="181"/>
      <c r="D89" s="7"/>
      <c r="E89" s="195"/>
      <c r="F89" s="177"/>
      <c r="G89" s="25" t="s">
        <v>25</v>
      </c>
      <c r="H89" s="25" t="s">
        <v>84</v>
      </c>
      <c r="I89" s="25" t="s">
        <v>76</v>
      </c>
      <c r="J89" s="25" t="s">
        <v>263</v>
      </c>
      <c r="K89" s="26" t="s">
        <v>10</v>
      </c>
      <c r="L89" s="45">
        <v>0</v>
      </c>
      <c r="M89" s="45">
        <v>6</v>
      </c>
      <c r="N89" s="45">
        <v>0</v>
      </c>
      <c r="O89" s="45">
        <v>0</v>
      </c>
      <c r="P89" s="45">
        <v>0</v>
      </c>
      <c r="Q89" s="45">
        <v>0</v>
      </c>
      <c r="R89" s="98">
        <v>0</v>
      </c>
      <c r="S89" s="121"/>
      <c r="T89" s="121"/>
      <c r="U89" s="121"/>
    </row>
    <row r="90" spans="1:21" x14ac:dyDescent="0.25">
      <c r="A90" s="181"/>
      <c r="B90" s="181"/>
      <c r="C90" s="181"/>
      <c r="D90" s="7"/>
      <c r="E90" s="195"/>
      <c r="F90" s="177"/>
      <c r="G90" s="25" t="s">
        <v>25</v>
      </c>
      <c r="H90" s="25" t="s">
        <v>84</v>
      </c>
      <c r="I90" s="25" t="s">
        <v>76</v>
      </c>
      <c r="J90" s="25" t="s">
        <v>291</v>
      </c>
      <c r="K90" s="26" t="s">
        <v>10</v>
      </c>
      <c r="L90" s="45"/>
      <c r="M90" s="45"/>
      <c r="N90" s="45"/>
      <c r="O90" s="45">
        <v>41.8</v>
      </c>
      <c r="P90" s="45">
        <v>0</v>
      </c>
      <c r="Q90" s="45">
        <v>0</v>
      </c>
      <c r="R90" s="98">
        <v>0</v>
      </c>
      <c r="S90" s="121"/>
      <c r="T90" s="121"/>
      <c r="U90" s="121"/>
    </row>
    <row r="91" spans="1:21" ht="49.5" customHeight="1" x14ac:dyDescent="0.25">
      <c r="A91" s="176"/>
      <c r="B91" s="176"/>
      <c r="C91" s="176"/>
      <c r="D91" s="7"/>
      <c r="E91" s="196"/>
      <c r="F91" s="180"/>
      <c r="G91" s="25" t="s">
        <v>25</v>
      </c>
      <c r="H91" s="25" t="s">
        <v>84</v>
      </c>
      <c r="I91" s="25" t="s">
        <v>76</v>
      </c>
      <c r="J91" s="25" t="s">
        <v>165</v>
      </c>
      <c r="K91" s="26" t="s">
        <v>200</v>
      </c>
      <c r="L91" s="45">
        <v>0</v>
      </c>
      <c r="M91" s="45">
        <v>37711.9</v>
      </c>
      <c r="N91" s="45">
        <v>40075.5</v>
      </c>
      <c r="O91" s="45">
        <v>44637.5</v>
      </c>
      <c r="P91" s="45">
        <v>46697.2</v>
      </c>
      <c r="Q91" s="45">
        <v>42408</v>
      </c>
      <c r="R91" s="98">
        <v>48889</v>
      </c>
      <c r="S91" s="121">
        <v>42379</v>
      </c>
      <c r="T91" s="121">
        <v>44074.2</v>
      </c>
      <c r="U91" s="121">
        <v>45837.2</v>
      </c>
    </row>
    <row r="92" spans="1:21" ht="24" customHeight="1" x14ac:dyDescent="0.25">
      <c r="A92" s="175" t="s">
        <v>68</v>
      </c>
      <c r="B92" s="175" t="s">
        <v>70</v>
      </c>
      <c r="C92" s="175" t="s">
        <v>78</v>
      </c>
      <c r="D92" s="7" t="s">
        <v>72</v>
      </c>
      <c r="E92" s="179" t="s">
        <v>89</v>
      </c>
      <c r="F92" s="179" t="s">
        <v>37</v>
      </c>
      <c r="G92" s="25" t="s">
        <v>25</v>
      </c>
      <c r="H92" s="25" t="s">
        <v>84</v>
      </c>
      <c r="I92" s="25" t="s">
        <v>76</v>
      </c>
      <c r="J92" s="25" t="s">
        <v>108</v>
      </c>
      <c r="K92" s="26" t="s">
        <v>7</v>
      </c>
      <c r="L92" s="45">
        <v>67.599999999999994</v>
      </c>
      <c r="M92" s="45">
        <v>0</v>
      </c>
      <c r="N92" s="45">
        <f>M92</f>
        <v>0</v>
      </c>
      <c r="O92" s="45">
        <f>M92</f>
        <v>0</v>
      </c>
      <c r="P92" s="45">
        <f>M92</f>
        <v>0</v>
      </c>
      <c r="Q92" s="45">
        <v>0</v>
      </c>
      <c r="R92" s="98">
        <f>M92</f>
        <v>0</v>
      </c>
      <c r="S92" s="121"/>
      <c r="T92" s="121"/>
      <c r="U92" s="121"/>
    </row>
    <row r="93" spans="1:21" x14ac:dyDescent="0.25">
      <c r="A93" s="181"/>
      <c r="B93" s="181"/>
      <c r="C93" s="181"/>
      <c r="D93" s="23"/>
      <c r="E93" s="177"/>
      <c r="F93" s="180"/>
      <c r="G93" s="25" t="s">
        <v>25</v>
      </c>
      <c r="H93" s="25" t="s">
        <v>84</v>
      </c>
      <c r="I93" s="25" t="s">
        <v>76</v>
      </c>
      <c r="J93" s="25" t="s">
        <v>213</v>
      </c>
      <c r="K93" s="26" t="s">
        <v>7</v>
      </c>
      <c r="L93" s="45"/>
      <c r="M93" s="45"/>
      <c r="N93" s="45"/>
      <c r="O93" s="45"/>
      <c r="P93" s="45">
        <v>70</v>
      </c>
      <c r="Q93" s="45"/>
      <c r="R93" s="98"/>
      <c r="S93" s="121"/>
      <c r="T93" s="121"/>
      <c r="U93" s="121"/>
    </row>
    <row r="94" spans="1:21" x14ac:dyDescent="0.25">
      <c r="A94" s="181"/>
      <c r="B94" s="181"/>
      <c r="C94" s="181"/>
      <c r="D94" s="23"/>
      <c r="E94" s="177"/>
      <c r="F94" s="179" t="s">
        <v>18</v>
      </c>
      <c r="G94" s="25" t="s">
        <v>16</v>
      </c>
      <c r="H94" s="25" t="s">
        <v>84</v>
      </c>
      <c r="I94" s="25" t="s">
        <v>76</v>
      </c>
      <c r="J94" s="25" t="s">
        <v>213</v>
      </c>
      <c r="K94" s="26" t="s">
        <v>7</v>
      </c>
      <c r="L94" s="45">
        <v>0</v>
      </c>
      <c r="M94" s="45">
        <v>0</v>
      </c>
      <c r="N94" s="45">
        <v>173</v>
      </c>
      <c r="O94" s="45">
        <v>25</v>
      </c>
      <c r="P94" s="45">
        <v>0</v>
      </c>
      <c r="Q94" s="45">
        <v>0</v>
      </c>
      <c r="R94" s="98">
        <v>0</v>
      </c>
      <c r="S94" s="121"/>
      <c r="T94" s="121"/>
      <c r="U94" s="121"/>
    </row>
    <row r="95" spans="1:21" x14ac:dyDescent="0.25">
      <c r="A95" s="176"/>
      <c r="B95" s="176"/>
      <c r="C95" s="176"/>
      <c r="D95" s="23"/>
      <c r="E95" s="180"/>
      <c r="F95" s="180"/>
      <c r="G95" s="25" t="s">
        <v>16</v>
      </c>
      <c r="H95" s="25" t="s">
        <v>84</v>
      </c>
      <c r="I95" s="25" t="s">
        <v>76</v>
      </c>
      <c r="J95" s="25" t="s">
        <v>108</v>
      </c>
      <c r="K95" s="26" t="s">
        <v>7</v>
      </c>
      <c r="L95" s="45">
        <v>18</v>
      </c>
      <c r="M95" s="45">
        <v>0</v>
      </c>
      <c r="N95" s="45">
        <v>0</v>
      </c>
      <c r="O95" s="45">
        <v>0</v>
      </c>
      <c r="P95" s="45">
        <f>M95</f>
        <v>0</v>
      </c>
      <c r="Q95" s="45">
        <v>0</v>
      </c>
      <c r="R95" s="98">
        <f>M95</f>
        <v>0</v>
      </c>
      <c r="S95" s="121"/>
      <c r="T95" s="121"/>
      <c r="U95" s="121"/>
    </row>
    <row r="96" spans="1:21" s="34" customFormat="1" ht="17.25" customHeight="1" x14ac:dyDescent="0.25">
      <c r="A96" s="175" t="s">
        <v>68</v>
      </c>
      <c r="B96" s="175" t="s">
        <v>70</v>
      </c>
      <c r="C96" s="175" t="s">
        <v>82</v>
      </c>
      <c r="D96" s="175" t="s">
        <v>90</v>
      </c>
      <c r="E96" s="179" t="s">
        <v>105</v>
      </c>
      <c r="F96" s="179" t="s">
        <v>37</v>
      </c>
      <c r="G96" s="25" t="s">
        <v>25</v>
      </c>
      <c r="H96" s="25" t="s">
        <v>84</v>
      </c>
      <c r="I96" s="25" t="s">
        <v>85</v>
      </c>
      <c r="J96" s="25" t="s">
        <v>111</v>
      </c>
      <c r="K96" s="26" t="s">
        <v>7</v>
      </c>
      <c r="L96" s="44">
        <v>100</v>
      </c>
      <c r="M96" s="44">
        <v>0</v>
      </c>
      <c r="N96" s="45">
        <f>M96</f>
        <v>0</v>
      </c>
      <c r="O96" s="45">
        <f>M96</f>
        <v>0</v>
      </c>
      <c r="P96" s="45">
        <v>0</v>
      </c>
      <c r="Q96" s="45">
        <v>0</v>
      </c>
      <c r="R96" s="98">
        <f>M96</f>
        <v>0</v>
      </c>
      <c r="S96" s="125"/>
      <c r="T96" s="125"/>
      <c r="U96" s="125"/>
    </row>
    <row r="97" spans="1:21" s="34" customFormat="1" x14ac:dyDescent="0.25">
      <c r="A97" s="181"/>
      <c r="B97" s="181"/>
      <c r="C97" s="181"/>
      <c r="D97" s="181"/>
      <c r="E97" s="177"/>
      <c r="F97" s="177"/>
      <c r="G97" s="25" t="s">
        <v>25</v>
      </c>
      <c r="H97" s="25" t="s">
        <v>84</v>
      </c>
      <c r="I97" s="25" t="s">
        <v>85</v>
      </c>
      <c r="J97" s="25" t="s">
        <v>167</v>
      </c>
      <c r="K97" s="26" t="s">
        <v>7</v>
      </c>
      <c r="L97" s="44">
        <v>0</v>
      </c>
      <c r="M97" s="44">
        <v>100</v>
      </c>
      <c r="N97" s="44">
        <v>0</v>
      </c>
      <c r="O97" s="44">
        <v>0</v>
      </c>
      <c r="P97" s="44">
        <v>0</v>
      </c>
      <c r="Q97" s="44">
        <v>0</v>
      </c>
      <c r="R97" s="99">
        <v>0</v>
      </c>
      <c r="S97" s="125"/>
      <c r="T97" s="125"/>
      <c r="U97" s="125"/>
    </row>
    <row r="98" spans="1:21" s="34" customFormat="1" x14ac:dyDescent="0.25">
      <c r="A98" s="181"/>
      <c r="B98" s="181"/>
      <c r="C98" s="181"/>
      <c r="D98" s="181"/>
      <c r="E98" s="177"/>
      <c r="F98" s="177"/>
      <c r="G98" s="25" t="s">
        <v>25</v>
      </c>
      <c r="H98" s="25" t="s">
        <v>84</v>
      </c>
      <c r="I98" s="25" t="s">
        <v>85</v>
      </c>
      <c r="J98" s="25" t="s">
        <v>222</v>
      </c>
      <c r="K98" s="26" t="s">
        <v>7</v>
      </c>
      <c r="L98" s="44">
        <v>0</v>
      </c>
      <c r="M98" s="44">
        <v>0</v>
      </c>
      <c r="N98" s="44">
        <v>100</v>
      </c>
      <c r="O98" s="44">
        <v>100</v>
      </c>
      <c r="P98" s="44">
        <v>100</v>
      </c>
      <c r="Q98" s="44">
        <v>0</v>
      </c>
      <c r="R98" s="99">
        <v>0</v>
      </c>
      <c r="S98" s="125"/>
      <c r="T98" s="125"/>
      <c r="U98" s="125"/>
    </row>
    <row r="99" spans="1:21" s="34" customFormat="1" x14ac:dyDescent="0.25">
      <c r="A99" s="181"/>
      <c r="B99" s="181"/>
      <c r="C99" s="181"/>
      <c r="D99" s="181"/>
      <c r="E99" s="177"/>
      <c r="F99" s="177"/>
      <c r="G99" s="25" t="s">
        <v>25</v>
      </c>
      <c r="H99" s="25" t="s">
        <v>84</v>
      </c>
      <c r="I99" s="25" t="s">
        <v>76</v>
      </c>
      <c r="J99" s="25" t="s">
        <v>222</v>
      </c>
      <c r="K99" s="26" t="s">
        <v>7</v>
      </c>
      <c r="L99" s="44"/>
      <c r="M99" s="44"/>
      <c r="N99" s="44"/>
      <c r="O99" s="44"/>
      <c r="P99" s="44"/>
      <c r="Q99" s="44">
        <v>100</v>
      </c>
      <c r="R99" s="99">
        <v>100</v>
      </c>
      <c r="S99" s="125">
        <v>100</v>
      </c>
      <c r="T99" s="125">
        <v>104</v>
      </c>
      <c r="U99" s="125">
        <v>108.2</v>
      </c>
    </row>
    <row r="100" spans="1:21" s="34" customFormat="1" x14ac:dyDescent="0.25">
      <c r="A100" s="181"/>
      <c r="B100" s="181"/>
      <c r="C100" s="181"/>
      <c r="D100" s="181"/>
      <c r="E100" s="177"/>
      <c r="F100" s="177"/>
      <c r="G100" s="25" t="s">
        <v>25</v>
      </c>
      <c r="H100" s="25" t="s">
        <v>84</v>
      </c>
      <c r="I100" s="25" t="s">
        <v>76</v>
      </c>
      <c r="J100" s="25" t="s">
        <v>174</v>
      </c>
      <c r="K100" s="26" t="s">
        <v>7</v>
      </c>
      <c r="L100" s="44">
        <v>0</v>
      </c>
      <c r="M100" s="44">
        <v>3192</v>
      </c>
      <c r="N100" s="44">
        <v>6917.3</v>
      </c>
      <c r="O100" s="44">
        <v>7829.4</v>
      </c>
      <c r="P100" s="44">
        <v>6225.45</v>
      </c>
      <c r="Q100" s="44">
        <v>3430</v>
      </c>
      <c r="R100" s="99">
        <v>0</v>
      </c>
      <c r="S100" s="125"/>
      <c r="T100" s="125"/>
      <c r="U100" s="125"/>
    </row>
    <row r="101" spans="1:21" s="34" customFormat="1" x14ac:dyDescent="0.25">
      <c r="A101" s="181"/>
      <c r="B101" s="181"/>
      <c r="C101" s="181"/>
      <c r="D101" s="181"/>
      <c r="E101" s="177"/>
      <c r="F101" s="177"/>
      <c r="G101" s="25" t="s">
        <v>25</v>
      </c>
      <c r="H101" s="25" t="s">
        <v>84</v>
      </c>
      <c r="I101" s="25" t="s">
        <v>85</v>
      </c>
      <c r="J101" s="25" t="s">
        <v>174</v>
      </c>
      <c r="K101" s="26" t="s">
        <v>7</v>
      </c>
      <c r="L101" s="44">
        <v>0</v>
      </c>
      <c r="M101" s="44">
        <v>5089.8</v>
      </c>
      <c r="N101" s="44">
        <v>0</v>
      </c>
      <c r="O101" s="44">
        <v>0</v>
      </c>
      <c r="P101" s="44">
        <v>0</v>
      </c>
      <c r="Q101" s="44">
        <v>0</v>
      </c>
      <c r="R101" s="99">
        <v>0</v>
      </c>
      <c r="S101" s="125"/>
      <c r="T101" s="125"/>
      <c r="U101" s="125"/>
    </row>
    <row r="102" spans="1:21" s="34" customFormat="1" x14ac:dyDescent="0.25">
      <c r="A102" s="176"/>
      <c r="B102" s="176"/>
      <c r="C102" s="176"/>
      <c r="D102" s="176"/>
      <c r="E102" s="180"/>
      <c r="F102" s="180"/>
      <c r="G102" s="25" t="s">
        <v>25</v>
      </c>
      <c r="H102" s="25" t="s">
        <v>84</v>
      </c>
      <c r="I102" s="25" t="s">
        <v>85</v>
      </c>
      <c r="J102" s="25" t="s">
        <v>128</v>
      </c>
      <c r="K102" s="26" t="s">
        <v>7</v>
      </c>
      <c r="L102" s="44">
        <v>7195.9247500000001</v>
      </c>
      <c r="M102" s="44">
        <v>0</v>
      </c>
      <c r="N102" s="45">
        <f>M102</f>
        <v>0</v>
      </c>
      <c r="O102" s="45">
        <f>M102</f>
        <v>0</v>
      </c>
      <c r="P102" s="45">
        <f>O102</f>
        <v>0</v>
      </c>
      <c r="Q102" s="45">
        <v>0</v>
      </c>
      <c r="R102" s="98">
        <f>M102</f>
        <v>0</v>
      </c>
      <c r="S102" s="125"/>
      <c r="T102" s="125"/>
      <c r="U102" s="125"/>
    </row>
    <row r="103" spans="1:21" s="34" customFormat="1" ht="21.75" customHeight="1" x14ac:dyDescent="0.25">
      <c r="A103" s="40" t="s">
        <v>68</v>
      </c>
      <c r="B103" s="40" t="s">
        <v>70</v>
      </c>
      <c r="C103" s="40" t="s">
        <v>83</v>
      </c>
      <c r="D103" s="38"/>
      <c r="E103" s="39" t="s">
        <v>179</v>
      </c>
      <c r="F103" s="39" t="s">
        <v>37</v>
      </c>
      <c r="G103" s="25" t="s">
        <v>25</v>
      </c>
      <c r="H103" s="25" t="s">
        <v>84</v>
      </c>
      <c r="I103" s="25" t="s">
        <v>85</v>
      </c>
      <c r="J103" s="25" t="s">
        <v>180</v>
      </c>
      <c r="K103" s="26" t="s">
        <v>7</v>
      </c>
      <c r="L103" s="44">
        <v>0</v>
      </c>
      <c r="M103" s="44">
        <v>188</v>
      </c>
      <c r="N103" s="45">
        <v>0</v>
      </c>
      <c r="O103" s="45">
        <v>0</v>
      </c>
      <c r="P103" s="45">
        <v>0</v>
      </c>
      <c r="Q103" s="45">
        <v>0</v>
      </c>
      <c r="R103" s="98">
        <v>0</v>
      </c>
      <c r="S103" s="125"/>
      <c r="T103" s="125"/>
      <c r="U103" s="125"/>
    </row>
    <row r="104" spans="1:21" s="34" customFormat="1" ht="33.75" customHeight="1" x14ac:dyDescent="0.25">
      <c r="A104" s="181" t="s">
        <v>68</v>
      </c>
      <c r="B104" s="181" t="s">
        <v>70</v>
      </c>
      <c r="C104" s="181" t="s">
        <v>172</v>
      </c>
      <c r="D104" s="38" t="s">
        <v>86</v>
      </c>
      <c r="E104" s="177" t="s">
        <v>173</v>
      </c>
      <c r="F104" s="177" t="s">
        <v>37</v>
      </c>
      <c r="G104" s="25" t="s">
        <v>25</v>
      </c>
      <c r="H104" s="25" t="s">
        <v>84</v>
      </c>
      <c r="I104" s="25" t="s">
        <v>76</v>
      </c>
      <c r="J104" s="25" t="s">
        <v>195</v>
      </c>
      <c r="K104" s="26" t="s">
        <v>7</v>
      </c>
      <c r="L104" s="44">
        <v>0</v>
      </c>
      <c r="M104" s="44">
        <v>2499.9</v>
      </c>
      <c r="N104" s="45">
        <v>0</v>
      </c>
      <c r="O104" s="45">
        <v>0</v>
      </c>
      <c r="P104" s="45">
        <v>0</v>
      </c>
      <c r="Q104" s="45">
        <v>0</v>
      </c>
      <c r="R104" s="98">
        <v>0</v>
      </c>
      <c r="S104" s="125"/>
      <c r="T104" s="125"/>
      <c r="U104" s="125"/>
    </row>
    <row r="105" spans="1:21" s="34" customFormat="1" x14ac:dyDescent="0.25">
      <c r="A105" s="181"/>
      <c r="B105" s="181"/>
      <c r="C105" s="181"/>
      <c r="D105" s="38"/>
      <c r="E105" s="177"/>
      <c r="F105" s="177"/>
      <c r="G105" s="25" t="s">
        <v>25</v>
      </c>
      <c r="H105" s="25" t="s">
        <v>84</v>
      </c>
      <c r="I105" s="25" t="s">
        <v>76</v>
      </c>
      <c r="J105" s="25" t="s">
        <v>306</v>
      </c>
      <c r="K105" s="26" t="s">
        <v>188</v>
      </c>
      <c r="L105" s="44"/>
      <c r="M105" s="44"/>
      <c r="N105" s="45"/>
      <c r="O105" s="45"/>
      <c r="P105" s="45">
        <v>50</v>
      </c>
      <c r="Q105" s="45"/>
      <c r="R105" s="98"/>
      <c r="S105" s="125"/>
      <c r="T105" s="125"/>
      <c r="U105" s="125"/>
    </row>
    <row r="106" spans="1:21" s="34" customFormat="1" ht="20.25" customHeight="1" x14ac:dyDescent="0.25">
      <c r="A106" s="181"/>
      <c r="B106" s="181"/>
      <c r="C106" s="181"/>
      <c r="D106" s="38"/>
      <c r="E106" s="177"/>
      <c r="F106" s="177"/>
      <c r="G106" s="25" t="s">
        <v>25</v>
      </c>
      <c r="H106" s="25" t="s">
        <v>84</v>
      </c>
      <c r="I106" s="25" t="s">
        <v>76</v>
      </c>
      <c r="J106" s="25" t="s">
        <v>209</v>
      </c>
      <c r="K106" s="26" t="s">
        <v>188</v>
      </c>
      <c r="L106" s="44"/>
      <c r="M106" s="44"/>
      <c r="N106" s="45"/>
      <c r="O106" s="45"/>
      <c r="P106" s="45">
        <v>49.994999999999997</v>
      </c>
      <c r="Q106" s="45"/>
      <c r="R106" s="98"/>
      <c r="S106" s="125"/>
      <c r="T106" s="125"/>
      <c r="U106" s="125"/>
    </row>
    <row r="107" spans="1:21" s="34" customFormat="1" x14ac:dyDescent="0.25">
      <c r="A107" s="181"/>
      <c r="B107" s="181"/>
      <c r="C107" s="181"/>
      <c r="D107" s="38"/>
      <c r="E107" s="177"/>
      <c r="F107" s="177"/>
      <c r="G107" s="25" t="s">
        <v>25</v>
      </c>
      <c r="H107" s="25" t="s">
        <v>84</v>
      </c>
      <c r="I107" s="25" t="s">
        <v>76</v>
      </c>
      <c r="J107" s="25" t="s">
        <v>187</v>
      </c>
      <c r="K107" s="26" t="s">
        <v>192</v>
      </c>
      <c r="L107" s="44">
        <v>0</v>
      </c>
      <c r="M107" s="44">
        <f>2120.97872+100</f>
        <v>2220.9787200000001</v>
      </c>
      <c r="N107" s="45">
        <v>0</v>
      </c>
      <c r="O107" s="45">
        <v>0</v>
      </c>
      <c r="P107" s="45">
        <v>0</v>
      </c>
      <c r="Q107" s="45">
        <v>0</v>
      </c>
      <c r="R107" s="98">
        <v>0</v>
      </c>
      <c r="S107" s="125"/>
      <c r="T107" s="125"/>
      <c r="U107" s="125"/>
    </row>
    <row r="108" spans="1:21" s="34" customFormat="1" x14ac:dyDescent="0.25">
      <c r="A108" s="181"/>
      <c r="B108" s="181"/>
      <c r="C108" s="181"/>
      <c r="D108" s="38"/>
      <c r="E108" s="177"/>
      <c r="F108" s="177" t="s">
        <v>186</v>
      </c>
      <c r="G108" s="25" t="s">
        <v>16</v>
      </c>
      <c r="H108" s="25" t="s">
        <v>84</v>
      </c>
      <c r="I108" s="25" t="s">
        <v>76</v>
      </c>
      <c r="J108" s="25" t="s">
        <v>195</v>
      </c>
      <c r="K108" s="26" t="s">
        <v>188</v>
      </c>
      <c r="L108" s="44">
        <v>0</v>
      </c>
      <c r="M108" s="44">
        <v>1000</v>
      </c>
      <c r="N108" s="45">
        <v>0</v>
      </c>
      <c r="O108" s="45">
        <v>0</v>
      </c>
      <c r="P108" s="45">
        <v>0</v>
      </c>
      <c r="Q108" s="45">
        <v>0</v>
      </c>
      <c r="R108" s="98">
        <v>0</v>
      </c>
      <c r="S108" s="125"/>
      <c r="T108" s="125"/>
      <c r="U108" s="125"/>
    </row>
    <row r="109" spans="1:21" s="34" customFormat="1" x14ac:dyDescent="0.25">
      <c r="A109" s="181"/>
      <c r="B109" s="181"/>
      <c r="C109" s="181"/>
      <c r="D109" s="38"/>
      <c r="E109" s="177"/>
      <c r="F109" s="177"/>
      <c r="G109" s="25" t="s">
        <v>16</v>
      </c>
      <c r="H109" s="25" t="s">
        <v>84</v>
      </c>
      <c r="I109" s="25" t="s">
        <v>76</v>
      </c>
      <c r="J109" s="25" t="s">
        <v>208</v>
      </c>
      <c r="K109" s="26" t="s">
        <v>10</v>
      </c>
      <c r="L109" s="44">
        <v>0</v>
      </c>
      <c r="M109" s="44">
        <v>0</v>
      </c>
      <c r="N109" s="45">
        <v>0</v>
      </c>
      <c r="O109" s="45">
        <v>0</v>
      </c>
      <c r="P109" s="45">
        <v>0</v>
      </c>
      <c r="Q109" s="45">
        <v>0</v>
      </c>
      <c r="R109" s="98">
        <v>0</v>
      </c>
      <c r="S109" s="125"/>
      <c r="T109" s="125"/>
      <c r="U109" s="125"/>
    </row>
    <row r="110" spans="1:21" s="34" customFormat="1" x14ac:dyDescent="0.25">
      <c r="A110" s="181"/>
      <c r="B110" s="181"/>
      <c r="C110" s="181"/>
      <c r="D110" s="38"/>
      <c r="E110" s="177"/>
      <c r="F110" s="177"/>
      <c r="G110" s="25" t="s">
        <v>16</v>
      </c>
      <c r="H110" s="25" t="s">
        <v>84</v>
      </c>
      <c r="I110" s="25" t="s">
        <v>76</v>
      </c>
      <c r="J110" s="25" t="s">
        <v>209</v>
      </c>
      <c r="K110" s="26" t="s">
        <v>188</v>
      </c>
      <c r="L110" s="44">
        <v>0</v>
      </c>
      <c r="M110" s="44">
        <v>0</v>
      </c>
      <c r="N110" s="45">
        <v>9</v>
      </c>
      <c r="O110" s="45">
        <v>0</v>
      </c>
      <c r="P110" s="45">
        <v>25227.205000000002</v>
      </c>
      <c r="Q110" s="45">
        <v>24123.377619999999</v>
      </c>
      <c r="R110" s="98">
        <v>0</v>
      </c>
      <c r="S110" s="125"/>
      <c r="T110" s="125"/>
      <c r="U110" s="125"/>
    </row>
    <row r="111" spans="1:21" s="34" customFormat="1" x14ac:dyDescent="0.25">
      <c r="A111" s="181"/>
      <c r="B111" s="181"/>
      <c r="C111" s="181"/>
      <c r="D111" s="38"/>
      <c r="E111" s="177"/>
      <c r="F111" s="177"/>
      <c r="G111" s="25" t="s">
        <v>16</v>
      </c>
      <c r="H111" s="25" t="s">
        <v>84</v>
      </c>
      <c r="I111" s="25" t="s">
        <v>76</v>
      </c>
      <c r="J111" s="25" t="s">
        <v>214</v>
      </c>
      <c r="K111" s="26" t="s">
        <v>225</v>
      </c>
      <c r="L111" s="44">
        <v>0</v>
      </c>
      <c r="M111" s="44">
        <v>0</v>
      </c>
      <c r="N111" s="45">
        <v>0.1</v>
      </c>
      <c r="O111" s="45">
        <v>0.7</v>
      </c>
      <c r="P111" s="45">
        <v>0</v>
      </c>
      <c r="Q111" s="45">
        <v>0</v>
      </c>
      <c r="R111" s="98">
        <v>0</v>
      </c>
      <c r="S111" s="125"/>
      <c r="T111" s="125"/>
      <c r="U111" s="125"/>
    </row>
    <row r="112" spans="1:21" s="34" customFormat="1" x14ac:dyDescent="0.25">
      <c r="A112" s="181"/>
      <c r="B112" s="181"/>
      <c r="C112" s="181"/>
      <c r="D112" s="38"/>
      <c r="E112" s="177"/>
      <c r="F112" s="177"/>
      <c r="G112" s="25" t="s">
        <v>16</v>
      </c>
      <c r="H112" s="25" t="s">
        <v>84</v>
      </c>
      <c r="I112" s="25" t="s">
        <v>76</v>
      </c>
      <c r="J112" s="25" t="s">
        <v>215</v>
      </c>
      <c r="K112" s="26" t="s">
        <v>252</v>
      </c>
      <c r="L112" s="44">
        <v>0</v>
      </c>
      <c r="M112" s="44">
        <v>0</v>
      </c>
      <c r="N112" s="45">
        <v>0.3</v>
      </c>
      <c r="O112" s="45">
        <v>0.3</v>
      </c>
      <c r="P112" s="45">
        <v>2.8277000000000001</v>
      </c>
      <c r="Q112" s="45">
        <v>0.29971999999999999</v>
      </c>
      <c r="R112" s="98">
        <v>0</v>
      </c>
      <c r="S112" s="125"/>
      <c r="T112" s="125"/>
      <c r="U112" s="125"/>
    </row>
    <row r="113" spans="1:21" s="34" customFormat="1" x14ac:dyDescent="0.25">
      <c r="A113" s="176"/>
      <c r="B113" s="176"/>
      <c r="C113" s="176"/>
      <c r="D113" s="38"/>
      <c r="E113" s="180"/>
      <c r="F113" s="180"/>
      <c r="G113" s="25" t="s">
        <v>16</v>
      </c>
      <c r="H113" s="25" t="s">
        <v>84</v>
      </c>
      <c r="I113" s="25" t="s">
        <v>76</v>
      </c>
      <c r="J113" s="25" t="s">
        <v>187</v>
      </c>
      <c r="K113" s="26" t="s">
        <v>188</v>
      </c>
      <c r="L113" s="44">
        <v>0</v>
      </c>
      <c r="M113" s="44">
        <v>3025.1382800000001</v>
      </c>
      <c r="N113" s="45">
        <v>0</v>
      </c>
      <c r="O113" s="45">
        <v>0</v>
      </c>
      <c r="P113" s="45">
        <v>0</v>
      </c>
      <c r="Q113" s="45">
        <v>0</v>
      </c>
      <c r="R113" s="98">
        <v>0</v>
      </c>
      <c r="S113" s="125"/>
      <c r="T113" s="125"/>
      <c r="U113" s="125"/>
    </row>
    <row r="114" spans="1:21" s="34" customFormat="1" ht="26.25" customHeight="1" x14ac:dyDescent="0.25">
      <c r="A114" s="175" t="s">
        <v>68</v>
      </c>
      <c r="B114" s="175" t="s">
        <v>70</v>
      </c>
      <c r="C114" s="175" t="s">
        <v>86</v>
      </c>
      <c r="D114" s="7" t="s">
        <v>91</v>
      </c>
      <c r="E114" s="179" t="s">
        <v>126</v>
      </c>
      <c r="F114" s="179" t="s">
        <v>37</v>
      </c>
      <c r="G114" s="25" t="s">
        <v>25</v>
      </c>
      <c r="H114" s="25" t="s">
        <v>84</v>
      </c>
      <c r="I114" s="25" t="s">
        <v>85</v>
      </c>
      <c r="J114" s="25" t="s">
        <v>112</v>
      </c>
      <c r="K114" s="26" t="s">
        <v>10</v>
      </c>
      <c r="L114" s="44">
        <v>40</v>
      </c>
      <c r="M114" s="44">
        <v>0</v>
      </c>
      <c r="N114" s="45">
        <f>M114</f>
        <v>0</v>
      </c>
      <c r="O114" s="45">
        <f>M114</f>
        <v>0</v>
      </c>
      <c r="P114" s="45">
        <v>0</v>
      </c>
      <c r="Q114" s="45">
        <v>0</v>
      </c>
      <c r="R114" s="98">
        <f>M114</f>
        <v>0</v>
      </c>
      <c r="S114" s="125"/>
      <c r="T114" s="125"/>
      <c r="U114" s="125"/>
    </row>
    <row r="115" spans="1:21" s="34" customFormat="1" ht="26.25" customHeight="1" x14ac:dyDescent="0.25">
      <c r="A115" s="176"/>
      <c r="B115" s="176"/>
      <c r="C115" s="176"/>
      <c r="D115" s="7"/>
      <c r="E115" s="180"/>
      <c r="F115" s="180"/>
      <c r="G115" s="25" t="s">
        <v>25</v>
      </c>
      <c r="H115" s="25" t="s">
        <v>84</v>
      </c>
      <c r="I115" s="25" t="s">
        <v>85</v>
      </c>
      <c r="J115" s="25" t="s">
        <v>168</v>
      </c>
      <c r="K115" s="26" t="s">
        <v>10</v>
      </c>
      <c r="L115" s="44">
        <v>0</v>
      </c>
      <c r="M115" s="44">
        <v>40</v>
      </c>
      <c r="N115" s="44">
        <v>40</v>
      </c>
      <c r="O115" s="44">
        <v>0</v>
      </c>
      <c r="P115" s="44">
        <v>0</v>
      </c>
      <c r="Q115" s="44">
        <v>0</v>
      </c>
      <c r="R115" s="99">
        <v>0</v>
      </c>
      <c r="S115" s="125"/>
      <c r="T115" s="125"/>
      <c r="U115" s="125"/>
    </row>
    <row r="116" spans="1:21" ht="42" customHeight="1" x14ac:dyDescent="0.25">
      <c r="A116" s="175" t="s">
        <v>68</v>
      </c>
      <c r="B116" s="175" t="s">
        <v>70</v>
      </c>
      <c r="C116" s="175" t="s">
        <v>88</v>
      </c>
      <c r="D116" s="7" t="s">
        <v>2</v>
      </c>
      <c r="E116" s="179" t="s">
        <v>21</v>
      </c>
      <c r="F116" s="179" t="s">
        <v>37</v>
      </c>
      <c r="G116" s="25" t="s">
        <v>25</v>
      </c>
      <c r="H116" s="25" t="s">
        <v>84</v>
      </c>
      <c r="I116" s="25" t="s">
        <v>76</v>
      </c>
      <c r="J116" s="25" t="s">
        <v>109</v>
      </c>
      <c r="K116" s="26" t="s">
        <v>8</v>
      </c>
      <c r="L116" s="45">
        <v>15062.652609999999</v>
      </c>
      <c r="M116" s="45">
        <v>0</v>
      </c>
      <c r="N116" s="45">
        <v>0</v>
      </c>
      <c r="O116" s="45">
        <f>N116</f>
        <v>0</v>
      </c>
      <c r="P116" s="45">
        <f>N116</f>
        <v>0</v>
      </c>
      <c r="Q116" s="45">
        <f>N116</f>
        <v>0</v>
      </c>
      <c r="R116" s="98">
        <f>O116</f>
        <v>0</v>
      </c>
      <c r="S116" s="121"/>
      <c r="T116" s="121"/>
      <c r="U116" s="121"/>
    </row>
    <row r="117" spans="1:21" x14ac:dyDescent="0.25">
      <c r="A117" s="176"/>
      <c r="B117" s="176"/>
      <c r="C117" s="176"/>
      <c r="D117" s="23"/>
      <c r="E117" s="180"/>
      <c r="F117" s="180"/>
      <c r="G117" s="25" t="s">
        <v>25</v>
      </c>
      <c r="H117" s="25" t="s">
        <v>84</v>
      </c>
      <c r="I117" s="25" t="s">
        <v>76</v>
      </c>
      <c r="J117" s="25" t="s">
        <v>166</v>
      </c>
      <c r="K117" s="26" t="s">
        <v>199</v>
      </c>
      <c r="L117" s="45">
        <v>0</v>
      </c>
      <c r="M117" s="45">
        <v>13545.2</v>
      </c>
      <c r="N117" s="45">
        <v>14172.7</v>
      </c>
      <c r="O117" s="45">
        <v>14416</v>
      </c>
      <c r="P117" s="45">
        <v>15368</v>
      </c>
      <c r="Q117" s="45">
        <v>16206</v>
      </c>
      <c r="R117" s="98">
        <v>16206</v>
      </c>
      <c r="S117" s="121">
        <v>16206</v>
      </c>
      <c r="T117" s="121">
        <v>16854.2</v>
      </c>
      <c r="U117" s="121">
        <v>17528.400000000001</v>
      </c>
    </row>
    <row r="118" spans="1:21" ht="33.75" x14ac:dyDescent="0.25">
      <c r="A118" s="38" t="s">
        <v>68</v>
      </c>
      <c r="B118" s="38" t="s">
        <v>70</v>
      </c>
      <c r="C118" s="38" t="s">
        <v>307</v>
      </c>
      <c r="D118" s="23"/>
      <c r="E118" s="76" t="s">
        <v>308</v>
      </c>
      <c r="F118" s="76" t="s">
        <v>37</v>
      </c>
      <c r="G118" s="25" t="s">
        <v>25</v>
      </c>
      <c r="H118" s="25" t="s">
        <v>84</v>
      </c>
      <c r="I118" s="25" t="s">
        <v>76</v>
      </c>
      <c r="J118" s="25" t="s">
        <v>309</v>
      </c>
      <c r="K118" s="26" t="s">
        <v>7</v>
      </c>
      <c r="L118" s="45"/>
      <c r="M118" s="45"/>
      <c r="N118" s="45"/>
      <c r="O118" s="45"/>
      <c r="P118" s="45"/>
      <c r="Q118" s="45">
        <v>2332</v>
      </c>
      <c r="R118" s="98">
        <v>2332</v>
      </c>
      <c r="S118" s="121">
        <v>2332</v>
      </c>
      <c r="T118" s="121">
        <v>2425.3000000000002</v>
      </c>
      <c r="U118" s="121">
        <v>2522.3000000000002</v>
      </c>
    </row>
    <row r="119" spans="1:21" ht="21" customHeight="1" x14ac:dyDescent="0.25">
      <c r="A119" s="38" t="s">
        <v>68</v>
      </c>
      <c r="B119" s="38" t="s">
        <v>70</v>
      </c>
      <c r="C119" s="38" t="s">
        <v>279</v>
      </c>
      <c r="D119" s="23"/>
      <c r="E119" s="76" t="s">
        <v>280</v>
      </c>
      <c r="F119" s="76" t="s">
        <v>37</v>
      </c>
      <c r="G119" s="25" t="s">
        <v>25</v>
      </c>
      <c r="H119" s="25" t="s">
        <v>84</v>
      </c>
      <c r="I119" s="25" t="s">
        <v>76</v>
      </c>
      <c r="J119" s="25" t="s">
        <v>299</v>
      </c>
      <c r="K119" s="26" t="s">
        <v>7</v>
      </c>
      <c r="L119" s="45"/>
      <c r="M119" s="45"/>
      <c r="N119" s="45"/>
      <c r="O119" s="45"/>
      <c r="P119" s="45">
        <v>1366.8</v>
      </c>
      <c r="Q119" s="45">
        <f>17.8+1425.556</f>
        <v>1443.356</v>
      </c>
      <c r="R119" s="98">
        <v>1372</v>
      </c>
      <c r="S119" s="121">
        <v>1383.2</v>
      </c>
      <c r="T119" s="121">
        <v>1438.5</v>
      </c>
      <c r="U119" s="121">
        <v>1496</v>
      </c>
    </row>
    <row r="120" spans="1:21" s="37" customFormat="1" ht="12.95" customHeight="1" x14ac:dyDescent="0.25">
      <c r="A120" s="186" t="s">
        <v>68</v>
      </c>
      <c r="B120" s="186" t="s">
        <v>71</v>
      </c>
      <c r="C120" s="186"/>
      <c r="D120" s="186"/>
      <c r="E120" s="187" t="s">
        <v>271</v>
      </c>
      <c r="F120" s="19" t="s">
        <v>36</v>
      </c>
      <c r="G120" s="27"/>
      <c r="H120" s="27"/>
      <c r="I120" s="27"/>
      <c r="J120" s="27"/>
      <c r="K120" s="27"/>
      <c r="L120" s="42">
        <f t="shared" ref="L120:U120" si="9">L121+L123+L122</f>
        <v>55528.668799999999</v>
      </c>
      <c r="M120" s="42">
        <f t="shared" si="9"/>
        <v>57395.353120000007</v>
      </c>
      <c r="N120" s="42">
        <f t="shared" si="9"/>
        <v>64737.813470000001</v>
      </c>
      <c r="O120" s="42">
        <f t="shared" si="9"/>
        <v>71267.3</v>
      </c>
      <c r="P120" s="42">
        <f>P121+P123+P122</f>
        <v>74644.856159999996</v>
      </c>
      <c r="Q120" s="42">
        <f>SUM(Q124:Q153)</f>
        <v>71129</v>
      </c>
      <c r="R120" s="42">
        <f t="shared" si="9"/>
        <v>74205.400000000009</v>
      </c>
      <c r="S120" s="42">
        <f t="shared" si="9"/>
        <v>76728.200000000012</v>
      </c>
      <c r="T120" s="42">
        <f t="shared" si="9"/>
        <v>79797.3</v>
      </c>
      <c r="U120" s="42">
        <f t="shared" si="9"/>
        <v>82989.100000000006</v>
      </c>
    </row>
    <row r="121" spans="1:21" s="37" customFormat="1" ht="33.75" x14ac:dyDescent="0.25">
      <c r="A121" s="186"/>
      <c r="B121" s="186"/>
      <c r="C121" s="186"/>
      <c r="D121" s="186"/>
      <c r="E121" s="187"/>
      <c r="F121" s="20" t="s">
        <v>37</v>
      </c>
      <c r="G121" s="24" t="s">
        <v>25</v>
      </c>
      <c r="H121" s="24"/>
      <c r="I121" s="24"/>
      <c r="J121" s="24"/>
      <c r="K121" s="24"/>
      <c r="L121" s="43">
        <f>L124+L131+L137+L140+L149+L152</f>
        <v>35414.57159</v>
      </c>
      <c r="M121" s="43">
        <f>M125+M128+M142+M151+M127</f>
        <v>37708.448540000005</v>
      </c>
      <c r="N121" s="43">
        <f>N124+N125+N131+N137+N140+N142+N149+N151+N153+N129+N126+N141+N150+N152</f>
        <v>42990.400000000001</v>
      </c>
      <c r="O121" s="43">
        <f>O126+O128+O130+O138+O141+O153</f>
        <v>48365.500000000007</v>
      </c>
      <c r="P121" s="43">
        <f t="shared" ref="P121:U121" si="10">P126+P128+P130+P141+P150+P153</f>
        <v>51211.046000000002</v>
      </c>
      <c r="Q121" s="43">
        <f t="shared" si="10"/>
        <v>46182.200000000004</v>
      </c>
      <c r="R121" s="43">
        <f t="shared" si="10"/>
        <v>47749.700000000004</v>
      </c>
      <c r="S121" s="43">
        <f t="shared" si="10"/>
        <v>49224.200000000004</v>
      </c>
      <c r="T121" s="43">
        <f t="shared" si="10"/>
        <v>51193.200000000004</v>
      </c>
      <c r="U121" s="43">
        <f t="shared" si="10"/>
        <v>53240.9</v>
      </c>
    </row>
    <row r="122" spans="1:21" s="37" customFormat="1" ht="22.5" x14ac:dyDescent="0.25">
      <c r="A122" s="186"/>
      <c r="B122" s="186"/>
      <c r="C122" s="186"/>
      <c r="D122" s="186"/>
      <c r="E122" s="187"/>
      <c r="F122" s="20" t="s">
        <v>186</v>
      </c>
      <c r="G122" s="24" t="s">
        <v>16</v>
      </c>
      <c r="H122" s="24"/>
      <c r="I122" s="24"/>
      <c r="J122" s="24"/>
      <c r="K122" s="24"/>
      <c r="L122" s="43">
        <f>L147</f>
        <v>0</v>
      </c>
      <c r="M122" s="43">
        <f>M147</f>
        <v>40</v>
      </c>
      <c r="N122" s="43">
        <f>N148</f>
        <v>600</v>
      </c>
      <c r="O122" s="43">
        <f>O148</f>
        <v>5</v>
      </c>
      <c r="P122" s="43">
        <f t="shared" ref="P122:U122" si="11">P147</f>
        <v>0</v>
      </c>
      <c r="Q122" s="43">
        <f t="shared" si="11"/>
        <v>0</v>
      </c>
      <c r="R122" s="43">
        <f t="shared" si="11"/>
        <v>0</v>
      </c>
      <c r="S122" s="43">
        <f t="shared" si="11"/>
        <v>0</v>
      </c>
      <c r="T122" s="43">
        <f t="shared" si="11"/>
        <v>0</v>
      </c>
      <c r="U122" s="43">
        <f t="shared" si="11"/>
        <v>0</v>
      </c>
    </row>
    <row r="123" spans="1:21" s="37" customFormat="1" ht="33.75" x14ac:dyDescent="0.25">
      <c r="A123" s="186"/>
      <c r="B123" s="186"/>
      <c r="C123" s="186"/>
      <c r="D123" s="186"/>
      <c r="E123" s="187"/>
      <c r="F123" s="20" t="s">
        <v>38</v>
      </c>
      <c r="G123" s="24" t="s">
        <v>26</v>
      </c>
      <c r="H123" s="24"/>
      <c r="I123" s="24"/>
      <c r="J123" s="24"/>
      <c r="K123" s="24"/>
      <c r="L123" s="43">
        <f>L132+L136+L139+L143+L145+L146</f>
        <v>20114.09721</v>
      </c>
      <c r="M123" s="43">
        <f>M132+M135+M143</f>
        <v>19646.904580000002</v>
      </c>
      <c r="N123" s="43">
        <f t="shared" ref="N123:U123" si="12">N133+N134+N144</f>
        <v>21147.41347</v>
      </c>
      <c r="O123" s="43">
        <f t="shared" si="12"/>
        <v>22896.799999999999</v>
      </c>
      <c r="P123" s="43">
        <f>P133+P144</f>
        <v>23433.810160000001</v>
      </c>
      <c r="Q123" s="43">
        <f>Q133+Q134+Q144</f>
        <v>24946.799999999999</v>
      </c>
      <c r="R123" s="43">
        <f>R133+R134+R144</f>
        <v>26455.7</v>
      </c>
      <c r="S123" s="43">
        <f t="shared" si="12"/>
        <v>27504</v>
      </c>
      <c r="T123" s="43">
        <f t="shared" si="12"/>
        <v>28604.1</v>
      </c>
      <c r="U123" s="43">
        <f t="shared" si="12"/>
        <v>29748.2</v>
      </c>
    </row>
    <row r="124" spans="1:21" ht="21.75" customHeight="1" x14ac:dyDescent="0.25">
      <c r="A124" s="175" t="s">
        <v>68</v>
      </c>
      <c r="B124" s="175" t="s">
        <v>71</v>
      </c>
      <c r="C124" s="175" t="s">
        <v>68</v>
      </c>
      <c r="D124" s="175"/>
      <c r="E124" s="179" t="s">
        <v>92</v>
      </c>
      <c r="F124" s="179" t="s">
        <v>37</v>
      </c>
      <c r="G124" s="25" t="s">
        <v>25</v>
      </c>
      <c r="H124" s="25" t="s">
        <v>84</v>
      </c>
      <c r="I124" s="25" t="s">
        <v>76</v>
      </c>
      <c r="J124" s="25" t="s">
        <v>96</v>
      </c>
      <c r="K124" s="26" t="s">
        <v>5</v>
      </c>
      <c r="L124" s="45">
        <v>34071.776740000001</v>
      </c>
      <c r="M124" s="45">
        <v>0</v>
      </c>
      <c r="N124" s="45">
        <v>0</v>
      </c>
      <c r="O124" s="45">
        <f>N124</f>
        <v>0</v>
      </c>
      <c r="P124" s="45">
        <f>O124</f>
        <v>0</v>
      </c>
      <c r="Q124" s="45">
        <f>O124</f>
        <v>0</v>
      </c>
      <c r="R124" s="98">
        <f>P124</f>
        <v>0</v>
      </c>
      <c r="S124" s="121"/>
      <c r="T124" s="121"/>
      <c r="U124" s="121"/>
    </row>
    <row r="125" spans="1:21" ht="16.5" customHeight="1" x14ac:dyDescent="0.25">
      <c r="A125" s="181"/>
      <c r="B125" s="181"/>
      <c r="C125" s="181"/>
      <c r="D125" s="181"/>
      <c r="E125" s="177"/>
      <c r="F125" s="177"/>
      <c r="G125" s="25" t="s">
        <v>25</v>
      </c>
      <c r="H125" s="25" t="s">
        <v>84</v>
      </c>
      <c r="I125" s="25" t="s">
        <v>76</v>
      </c>
      <c r="J125" s="25" t="s">
        <v>153</v>
      </c>
      <c r="K125" s="26" t="s">
        <v>5</v>
      </c>
      <c r="L125" s="45">
        <v>0</v>
      </c>
      <c r="M125" s="45">
        <v>36381.548540000003</v>
      </c>
      <c r="N125" s="45">
        <v>0</v>
      </c>
      <c r="O125" s="45">
        <v>0</v>
      </c>
      <c r="P125" s="45">
        <v>0</v>
      </c>
      <c r="Q125" s="45">
        <v>0</v>
      </c>
      <c r="R125" s="98">
        <v>0</v>
      </c>
      <c r="S125" s="121"/>
      <c r="T125" s="121"/>
      <c r="U125" s="121"/>
    </row>
    <row r="126" spans="1:21" x14ac:dyDescent="0.25">
      <c r="A126" s="181"/>
      <c r="B126" s="181"/>
      <c r="C126" s="181"/>
      <c r="D126" s="181"/>
      <c r="E126" s="177"/>
      <c r="F126" s="177"/>
      <c r="G126" s="25" t="s">
        <v>25</v>
      </c>
      <c r="H126" s="25" t="s">
        <v>84</v>
      </c>
      <c r="I126" s="25" t="s">
        <v>78</v>
      </c>
      <c r="J126" s="25" t="s">
        <v>153</v>
      </c>
      <c r="K126" s="26" t="s">
        <v>218</v>
      </c>
      <c r="L126" s="45">
        <v>0</v>
      </c>
      <c r="M126" s="45">
        <v>0</v>
      </c>
      <c r="N126" s="45">
        <f>34226.4+35</f>
        <v>34261.4</v>
      </c>
      <c r="O126" s="45">
        <v>44472.3</v>
      </c>
      <c r="P126" s="45">
        <f>41013.17988+2815.326</f>
        <v>43828.505880000004</v>
      </c>
      <c r="Q126" s="45">
        <v>38092.400000000001</v>
      </c>
      <c r="R126" s="98">
        <v>39659.9</v>
      </c>
      <c r="S126" s="121">
        <v>41134.400000000001</v>
      </c>
      <c r="T126" s="121">
        <v>42779.8</v>
      </c>
      <c r="U126" s="121">
        <v>44491</v>
      </c>
    </row>
    <row r="127" spans="1:21" ht="16.5" customHeight="1" x14ac:dyDescent="0.25">
      <c r="A127" s="181"/>
      <c r="B127" s="181"/>
      <c r="C127" s="181"/>
      <c r="D127" s="181"/>
      <c r="E127" s="177"/>
      <c r="F127" s="177"/>
      <c r="G127" s="25" t="s">
        <v>25</v>
      </c>
      <c r="H127" s="25" t="s">
        <v>84</v>
      </c>
      <c r="I127" s="25" t="s">
        <v>76</v>
      </c>
      <c r="J127" s="25" t="s">
        <v>181</v>
      </c>
      <c r="K127" s="26" t="s">
        <v>7</v>
      </c>
      <c r="L127" s="45">
        <v>0</v>
      </c>
      <c r="M127" s="45">
        <v>4</v>
      </c>
      <c r="N127" s="45">
        <v>0</v>
      </c>
      <c r="O127" s="45">
        <v>0</v>
      </c>
      <c r="P127" s="45">
        <v>0</v>
      </c>
      <c r="Q127" s="45">
        <v>0</v>
      </c>
      <c r="R127" s="98">
        <v>0</v>
      </c>
      <c r="S127" s="121"/>
      <c r="T127" s="121"/>
      <c r="U127" s="121"/>
    </row>
    <row r="128" spans="1:21" ht="16.5" customHeight="1" x14ac:dyDescent="0.25">
      <c r="A128" s="181"/>
      <c r="B128" s="181"/>
      <c r="C128" s="181"/>
      <c r="D128" s="181"/>
      <c r="E128" s="177"/>
      <c r="F128" s="177"/>
      <c r="G128" s="25" t="s">
        <v>25</v>
      </c>
      <c r="H128" s="25" t="s">
        <v>84</v>
      </c>
      <c r="I128" s="25" t="s">
        <v>78</v>
      </c>
      <c r="J128" s="25" t="s">
        <v>181</v>
      </c>
      <c r="K128" s="26" t="s">
        <v>7</v>
      </c>
      <c r="L128" s="45">
        <v>0</v>
      </c>
      <c r="M128" s="45">
        <v>0</v>
      </c>
      <c r="N128" s="45">
        <v>0</v>
      </c>
      <c r="O128" s="45">
        <v>2</v>
      </c>
      <c r="P128" s="45">
        <v>69.45</v>
      </c>
      <c r="Q128" s="45">
        <v>0</v>
      </c>
      <c r="R128" s="98">
        <v>0</v>
      </c>
      <c r="S128" s="121"/>
      <c r="T128" s="121"/>
      <c r="U128" s="121"/>
    </row>
    <row r="129" spans="1:21" ht="16.5" customHeight="1" x14ac:dyDescent="0.25">
      <c r="A129" s="181"/>
      <c r="B129" s="181"/>
      <c r="C129" s="181"/>
      <c r="D129" s="181"/>
      <c r="E129" s="177"/>
      <c r="F129" s="177"/>
      <c r="G129" s="25" t="s">
        <v>25</v>
      </c>
      <c r="H129" s="25" t="s">
        <v>84</v>
      </c>
      <c r="I129" s="25" t="s">
        <v>78</v>
      </c>
      <c r="J129" s="25" t="s">
        <v>201</v>
      </c>
      <c r="K129" s="26" t="s">
        <v>5</v>
      </c>
      <c r="L129" s="45">
        <v>0</v>
      </c>
      <c r="M129" s="45">
        <v>0</v>
      </c>
      <c r="N129" s="45">
        <v>7242</v>
      </c>
      <c r="O129" s="45">
        <v>0</v>
      </c>
      <c r="P129" s="45">
        <v>0</v>
      </c>
      <c r="Q129" s="45">
        <v>0</v>
      </c>
      <c r="R129" s="98">
        <v>0</v>
      </c>
      <c r="S129" s="121"/>
      <c r="T129" s="121"/>
      <c r="U129" s="121"/>
    </row>
    <row r="130" spans="1:21" ht="16.5" customHeight="1" x14ac:dyDescent="0.25">
      <c r="A130" s="181"/>
      <c r="B130" s="181"/>
      <c r="C130" s="181"/>
      <c r="D130" s="181"/>
      <c r="E130" s="177"/>
      <c r="F130" s="177"/>
      <c r="G130" s="25" t="s">
        <v>25</v>
      </c>
      <c r="H130" s="25" t="s">
        <v>84</v>
      </c>
      <c r="I130" s="25" t="s">
        <v>78</v>
      </c>
      <c r="J130" s="25" t="s">
        <v>182</v>
      </c>
      <c r="K130" s="26" t="s">
        <v>7</v>
      </c>
      <c r="L130" s="45">
        <v>0</v>
      </c>
      <c r="M130" s="45">
        <v>0</v>
      </c>
      <c r="N130" s="45">
        <v>0</v>
      </c>
      <c r="O130" s="45">
        <v>37</v>
      </c>
      <c r="P130" s="45">
        <v>47.207999999999998</v>
      </c>
      <c r="Q130" s="45">
        <v>0</v>
      </c>
      <c r="R130" s="98">
        <v>0</v>
      </c>
      <c r="S130" s="121"/>
      <c r="T130" s="121"/>
      <c r="U130" s="121"/>
    </row>
    <row r="131" spans="1:21" x14ac:dyDescent="0.25">
      <c r="A131" s="181"/>
      <c r="B131" s="181"/>
      <c r="C131" s="181"/>
      <c r="D131" s="176"/>
      <c r="E131" s="177"/>
      <c r="F131" s="180"/>
      <c r="G131" s="25" t="s">
        <v>25</v>
      </c>
      <c r="H131" s="25" t="s">
        <v>84</v>
      </c>
      <c r="I131" s="25" t="s">
        <v>76</v>
      </c>
      <c r="J131" s="25" t="s">
        <v>136</v>
      </c>
      <c r="K131" s="26" t="s">
        <v>7</v>
      </c>
      <c r="L131" s="45">
        <v>14</v>
      </c>
      <c r="M131" s="45">
        <v>0</v>
      </c>
      <c r="N131" s="45">
        <v>0</v>
      </c>
      <c r="O131" s="45">
        <v>0</v>
      </c>
      <c r="P131" s="45">
        <f>O131</f>
        <v>0</v>
      </c>
      <c r="Q131" s="45">
        <f>O131</f>
        <v>0</v>
      </c>
      <c r="R131" s="98">
        <f>P131</f>
        <v>0</v>
      </c>
      <c r="S131" s="121"/>
      <c r="T131" s="121"/>
      <c r="U131" s="121"/>
    </row>
    <row r="132" spans="1:21" x14ac:dyDescent="0.25">
      <c r="A132" s="181"/>
      <c r="B132" s="181"/>
      <c r="C132" s="181"/>
      <c r="D132" s="38"/>
      <c r="E132" s="177"/>
      <c r="F132" s="179" t="s">
        <v>38</v>
      </c>
      <c r="G132" s="25" t="s">
        <v>26</v>
      </c>
      <c r="H132" s="25" t="s">
        <v>84</v>
      </c>
      <c r="I132" s="25" t="s">
        <v>76</v>
      </c>
      <c r="J132" s="25" t="s">
        <v>153</v>
      </c>
      <c r="K132" s="26" t="s">
        <v>5</v>
      </c>
      <c r="L132" s="45">
        <v>0</v>
      </c>
      <c r="M132" s="45">
        <v>19068.927220000001</v>
      </c>
      <c r="N132" s="45">
        <v>0</v>
      </c>
      <c r="O132" s="45">
        <v>0</v>
      </c>
      <c r="P132" s="45">
        <v>0</v>
      </c>
      <c r="Q132" s="45">
        <v>0</v>
      </c>
      <c r="R132" s="98">
        <v>0</v>
      </c>
      <c r="S132" s="121"/>
      <c r="T132" s="121"/>
      <c r="U132" s="121"/>
    </row>
    <row r="133" spans="1:21" x14ac:dyDescent="0.25">
      <c r="A133" s="181"/>
      <c r="B133" s="181"/>
      <c r="C133" s="181"/>
      <c r="D133" s="38"/>
      <c r="E133" s="177"/>
      <c r="F133" s="177"/>
      <c r="G133" s="25" t="s">
        <v>26</v>
      </c>
      <c r="H133" s="25" t="s">
        <v>84</v>
      </c>
      <c r="I133" s="25" t="s">
        <v>78</v>
      </c>
      <c r="J133" s="25" t="s">
        <v>153</v>
      </c>
      <c r="K133" s="26" t="s">
        <v>218</v>
      </c>
      <c r="L133" s="45">
        <v>0</v>
      </c>
      <c r="M133" s="45">
        <v>0</v>
      </c>
      <c r="N133" s="45">
        <f>18948.5+8</f>
        <v>18956.5</v>
      </c>
      <c r="O133" s="45">
        <v>22257.7</v>
      </c>
      <c r="P133" s="45">
        <f>22676.623+74.879</f>
        <v>22751.502</v>
      </c>
      <c r="Q133" s="45">
        <v>24244.1</v>
      </c>
      <c r="R133" s="98">
        <v>25753</v>
      </c>
      <c r="S133" s="121">
        <v>26801.3</v>
      </c>
      <c r="T133" s="121">
        <v>27873.3</v>
      </c>
      <c r="U133" s="121">
        <v>28988.2</v>
      </c>
    </row>
    <row r="134" spans="1:21" x14ac:dyDescent="0.25">
      <c r="A134" s="181"/>
      <c r="B134" s="181"/>
      <c r="C134" s="181"/>
      <c r="D134" s="38"/>
      <c r="E134" s="177"/>
      <c r="F134" s="177"/>
      <c r="G134" s="25" t="s">
        <v>26</v>
      </c>
      <c r="H134" s="25" t="s">
        <v>84</v>
      </c>
      <c r="I134" s="25" t="s">
        <v>78</v>
      </c>
      <c r="J134" s="25" t="s">
        <v>201</v>
      </c>
      <c r="K134" s="26" t="s">
        <v>5</v>
      </c>
      <c r="L134" s="45">
        <v>0</v>
      </c>
      <c r="M134" s="45">
        <v>0</v>
      </c>
      <c r="N134" s="45">
        <v>1612</v>
      </c>
      <c r="O134" s="45">
        <v>0</v>
      </c>
      <c r="P134" s="45">
        <v>0</v>
      </c>
      <c r="Q134" s="45">
        <v>0</v>
      </c>
      <c r="R134" s="98">
        <v>0</v>
      </c>
      <c r="S134" s="121"/>
      <c r="T134" s="121"/>
      <c r="U134" s="121"/>
    </row>
    <row r="135" spans="1:21" x14ac:dyDescent="0.25">
      <c r="A135" s="181"/>
      <c r="B135" s="181"/>
      <c r="C135" s="181"/>
      <c r="D135" s="38"/>
      <c r="E135" s="177"/>
      <c r="F135" s="177"/>
      <c r="G135" s="25" t="s">
        <v>26</v>
      </c>
      <c r="H135" s="25" t="s">
        <v>84</v>
      </c>
      <c r="I135" s="25" t="s">
        <v>76</v>
      </c>
      <c r="J135" s="25" t="s">
        <v>182</v>
      </c>
      <c r="K135" s="26" t="s">
        <v>7</v>
      </c>
      <c r="L135" s="45">
        <v>0</v>
      </c>
      <c r="M135" s="45">
        <v>80</v>
      </c>
      <c r="N135" s="45">
        <v>0</v>
      </c>
      <c r="O135" s="45">
        <v>0</v>
      </c>
      <c r="P135" s="45">
        <v>0</v>
      </c>
      <c r="Q135" s="45">
        <v>0</v>
      </c>
      <c r="R135" s="98">
        <v>0</v>
      </c>
      <c r="S135" s="121"/>
      <c r="T135" s="121"/>
      <c r="U135" s="121"/>
    </row>
    <row r="136" spans="1:21" ht="21" customHeight="1" x14ac:dyDescent="0.25">
      <c r="A136" s="176"/>
      <c r="B136" s="176"/>
      <c r="C136" s="176"/>
      <c r="D136" s="7"/>
      <c r="E136" s="180"/>
      <c r="F136" s="180"/>
      <c r="G136" s="25" t="s">
        <v>26</v>
      </c>
      <c r="H136" s="25" t="s">
        <v>84</v>
      </c>
      <c r="I136" s="25" t="s">
        <v>76</v>
      </c>
      <c r="J136" s="25" t="s">
        <v>96</v>
      </c>
      <c r="K136" s="26" t="s">
        <v>5</v>
      </c>
      <c r="L136" s="45">
        <v>19113.98676</v>
      </c>
      <c r="M136" s="45">
        <v>0</v>
      </c>
      <c r="N136" s="45">
        <v>0</v>
      </c>
      <c r="O136" s="45">
        <f>N136</f>
        <v>0</v>
      </c>
      <c r="P136" s="45">
        <f>N136</f>
        <v>0</v>
      </c>
      <c r="Q136" s="45">
        <f>N136</f>
        <v>0</v>
      </c>
      <c r="R136" s="98">
        <f>O136</f>
        <v>0</v>
      </c>
      <c r="S136" s="121"/>
      <c r="T136" s="121"/>
      <c r="U136" s="121"/>
    </row>
    <row r="137" spans="1:21" ht="22.5" customHeight="1" x14ac:dyDescent="0.25">
      <c r="A137" s="175" t="s">
        <v>68</v>
      </c>
      <c r="B137" s="175" t="s">
        <v>71</v>
      </c>
      <c r="C137" s="175" t="s">
        <v>76</v>
      </c>
      <c r="D137" s="7"/>
      <c r="E137" s="179" t="s">
        <v>93</v>
      </c>
      <c r="F137" s="179" t="s">
        <v>37</v>
      </c>
      <c r="G137" s="25" t="s">
        <v>25</v>
      </c>
      <c r="H137" s="25" t="s">
        <v>84</v>
      </c>
      <c r="I137" s="25" t="s">
        <v>76</v>
      </c>
      <c r="J137" s="25" t="s">
        <v>94</v>
      </c>
      <c r="K137" s="25" t="s">
        <v>5</v>
      </c>
      <c r="L137" s="44">
        <v>120.03</v>
      </c>
      <c r="M137" s="44">
        <v>0</v>
      </c>
      <c r="N137" s="45">
        <f>M137</f>
        <v>0</v>
      </c>
      <c r="O137" s="45">
        <f>M137</f>
        <v>0</v>
      </c>
      <c r="P137" s="45">
        <f>O137</f>
        <v>0</v>
      </c>
      <c r="Q137" s="45">
        <v>0</v>
      </c>
      <c r="R137" s="98">
        <f>M137</f>
        <v>0</v>
      </c>
      <c r="S137" s="121"/>
      <c r="T137" s="121"/>
      <c r="U137" s="121"/>
    </row>
    <row r="138" spans="1:21" x14ac:dyDescent="0.25">
      <c r="A138" s="181"/>
      <c r="B138" s="181"/>
      <c r="C138" s="181"/>
      <c r="D138" s="7"/>
      <c r="E138" s="177"/>
      <c r="F138" s="180"/>
      <c r="G138" s="25" t="s">
        <v>25</v>
      </c>
      <c r="H138" s="25" t="s">
        <v>84</v>
      </c>
      <c r="I138" s="25" t="s">
        <v>76</v>
      </c>
      <c r="J138" s="25" t="s">
        <v>292</v>
      </c>
      <c r="K138" s="25" t="s">
        <v>7</v>
      </c>
      <c r="L138" s="44"/>
      <c r="M138" s="44"/>
      <c r="N138" s="45"/>
      <c r="O138" s="45">
        <v>374.9</v>
      </c>
      <c r="P138" s="45">
        <v>0</v>
      </c>
      <c r="Q138" s="45">
        <v>0</v>
      </c>
      <c r="R138" s="98">
        <v>0</v>
      </c>
      <c r="S138" s="121"/>
      <c r="T138" s="121"/>
      <c r="U138" s="121"/>
    </row>
    <row r="139" spans="1:21" ht="22.5" customHeight="1" x14ac:dyDescent="0.25">
      <c r="A139" s="176"/>
      <c r="B139" s="176"/>
      <c r="C139" s="176"/>
      <c r="D139" s="7"/>
      <c r="E139" s="180"/>
      <c r="F139" s="10" t="s">
        <v>38</v>
      </c>
      <c r="G139" s="25" t="s">
        <v>26</v>
      </c>
      <c r="H139" s="25" t="s">
        <v>84</v>
      </c>
      <c r="I139" s="25" t="s">
        <v>76</v>
      </c>
      <c r="J139" s="25" t="s">
        <v>94</v>
      </c>
      <c r="K139" s="26" t="s">
        <v>5</v>
      </c>
      <c r="L139" s="45">
        <v>4.1280000000000001</v>
      </c>
      <c r="M139" s="45">
        <v>0</v>
      </c>
      <c r="N139" s="45">
        <f>M139</f>
        <v>0</v>
      </c>
      <c r="O139" s="45">
        <f>N139</f>
        <v>0</v>
      </c>
      <c r="P139" s="45">
        <f>N139</f>
        <v>0</v>
      </c>
      <c r="Q139" s="45">
        <f>N139</f>
        <v>0</v>
      </c>
      <c r="R139" s="98">
        <f>O139</f>
        <v>0</v>
      </c>
      <c r="S139" s="121"/>
      <c r="T139" s="121"/>
      <c r="U139" s="121"/>
    </row>
    <row r="140" spans="1:21" ht="20.25" customHeight="1" x14ac:dyDescent="0.25">
      <c r="A140" s="175" t="s">
        <v>68</v>
      </c>
      <c r="B140" s="175" t="s">
        <v>71</v>
      </c>
      <c r="C140" s="175" t="s">
        <v>85</v>
      </c>
      <c r="D140" s="7"/>
      <c r="E140" s="179" t="s">
        <v>21</v>
      </c>
      <c r="F140" s="179" t="s">
        <v>37</v>
      </c>
      <c r="G140" s="25" t="s">
        <v>25</v>
      </c>
      <c r="H140" s="25" t="s">
        <v>84</v>
      </c>
      <c r="I140" s="25" t="s">
        <v>76</v>
      </c>
      <c r="J140" s="25" t="s">
        <v>95</v>
      </c>
      <c r="K140" s="26" t="s">
        <v>8</v>
      </c>
      <c r="L140" s="45">
        <v>986.12485000000004</v>
      </c>
      <c r="M140" s="45">
        <v>0</v>
      </c>
      <c r="N140" s="45">
        <v>0</v>
      </c>
      <c r="O140" s="45">
        <f>N140</f>
        <v>0</v>
      </c>
      <c r="P140" s="45">
        <f>N140</f>
        <v>0</v>
      </c>
      <c r="Q140" s="45">
        <f>N140</f>
        <v>0</v>
      </c>
      <c r="R140" s="98">
        <f>O140</f>
        <v>0</v>
      </c>
      <c r="S140" s="121"/>
      <c r="T140" s="121"/>
      <c r="U140" s="121"/>
    </row>
    <row r="141" spans="1:21" ht="20.25" customHeight="1" x14ac:dyDescent="0.25">
      <c r="A141" s="181"/>
      <c r="B141" s="181"/>
      <c r="C141" s="181"/>
      <c r="D141" s="7"/>
      <c r="E141" s="177"/>
      <c r="F141" s="177"/>
      <c r="G141" s="25" t="s">
        <v>25</v>
      </c>
      <c r="H141" s="25" t="s">
        <v>84</v>
      </c>
      <c r="I141" s="25" t="s">
        <v>78</v>
      </c>
      <c r="J141" s="25" t="s">
        <v>155</v>
      </c>
      <c r="K141" s="26" t="s">
        <v>6</v>
      </c>
      <c r="L141" s="45">
        <v>0</v>
      </c>
      <c r="M141" s="45">
        <v>0</v>
      </c>
      <c r="N141" s="45">
        <v>1037</v>
      </c>
      <c r="O141" s="45">
        <v>1015</v>
      </c>
      <c r="P141" s="45">
        <v>1120</v>
      </c>
      <c r="Q141" s="45">
        <v>1150</v>
      </c>
      <c r="R141" s="98">
        <v>1150</v>
      </c>
      <c r="S141" s="121">
        <v>1150</v>
      </c>
      <c r="T141" s="121">
        <v>1196</v>
      </c>
      <c r="U141" s="121">
        <v>1243.8</v>
      </c>
    </row>
    <row r="142" spans="1:21" x14ac:dyDescent="0.25">
      <c r="A142" s="181"/>
      <c r="B142" s="181"/>
      <c r="C142" s="181"/>
      <c r="D142" s="7"/>
      <c r="E142" s="177"/>
      <c r="F142" s="180"/>
      <c r="G142" s="25" t="s">
        <v>25</v>
      </c>
      <c r="H142" s="25" t="s">
        <v>84</v>
      </c>
      <c r="I142" s="25" t="s">
        <v>76</v>
      </c>
      <c r="J142" s="25" t="s">
        <v>155</v>
      </c>
      <c r="K142" s="26" t="s">
        <v>8</v>
      </c>
      <c r="L142" s="45">
        <v>0</v>
      </c>
      <c r="M142" s="45">
        <v>1010.4</v>
      </c>
      <c r="N142" s="45">
        <v>0</v>
      </c>
      <c r="O142" s="45">
        <v>0</v>
      </c>
      <c r="P142" s="45">
        <v>0</v>
      </c>
      <c r="Q142" s="45">
        <v>0</v>
      </c>
      <c r="R142" s="98">
        <v>0</v>
      </c>
      <c r="S142" s="121"/>
      <c r="T142" s="121"/>
      <c r="U142" s="121"/>
    </row>
    <row r="143" spans="1:21" x14ac:dyDescent="0.25">
      <c r="A143" s="181"/>
      <c r="B143" s="181"/>
      <c r="C143" s="181"/>
      <c r="D143" s="7"/>
      <c r="E143" s="177"/>
      <c r="F143" s="179" t="s">
        <v>38</v>
      </c>
      <c r="G143" s="25" t="s">
        <v>26</v>
      </c>
      <c r="H143" s="25" t="s">
        <v>84</v>
      </c>
      <c r="I143" s="25" t="s">
        <v>76</v>
      </c>
      <c r="J143" s="25" t="s">
        <v>155</v>
      </c>
      <c r="K143" s="26" t="s">
        <v>8</v>
      </c>
      <c r="L143" s="45">
        <v>0</v>
      </c>
      <c r="M143" s="45">
        <f>233.71254+264.26482</f>
        <v>497.97735999999998</v>
      </c>
      <c r="N143" s="45">
        <v>0</v>
      </c>
      <c r="O143" s="45">
        <v>0</v>
      </c>
      <c r="P143" s="45">
        <v>0</v>
      </c>
      <c r="Q143" s="45">
        <v>0</v>
      </c>
      <c r="R143" s="98">
        <v>0</v>
      </c>
      <c r="S143" s="121"/>
      <c r="T143" s="121"/>
      <c r="U143" s="121"/>
    </row>
    <row r="144" spans="1:21" x14ac:dyDescent="0.25">
      <c r="A144" s="181"/>
      <c r="B144" s="181"/>
      <c r="C144" s="181"/>
      <c r="D144" s="7"/>
      <c r="E144" s="177"/>
      <c r="F144" s="177"/>
      <c r="G144" s="25" t="s">
        <v>26</v>
      </c>
      <c r="H144" s="25" t="s">
        <v>84</v>
      </c>
      <c r="I144" s="25" t="s">
        <v>78</v>
      </c>
      <c r="J144" s="25" t="s">
        <v>155</v>
      </c>
      <c r="K144" s="26" t="s">
        <v>6</v>
      </c>
      <c r="L144" s="45">
        <v>0</v>
      </c>
      <c r="M144" s="45">
        <v>0</v>
      </c>
      <c r="N144" s="45">
        <v>578.91346999999996</v>
      </c>
      <c r="O144" s="45">
        <v>639.1</v>
      </c>
      <c r="P144" s="45">
        <v>682.30816000000004</v>
      </c>
      <c r="Q144" s="45">
        <v>702.7</v>
      </c>
      <c r="R144" s="98">
        <v>702.7</v>
      </c>
      <c r="S144" s="121">
        <v>702.7</v>
      </c>
      <c r="T144" s="121">
        <v>730.8</v>
      </c>
      <c r="U144" s="121">
        <v>760</v>
      </c>
    </row>
    <row r="145" spans="1:21" ht="24.75" customHeight="1" x14ac:dyDescent="0.25">
      <c r="A145" s="176"/>
      <c r="B145" s="176"/>
      <c r="C145" s="176"/>
      <c r="D145" s="7"/>
      <c r="E145" s="180"/>
      <c r="F145" s="180"/>
      <c r="G145" s="25" t="s">
        <v>26</v>
      </c>
      <c r="H145" s="25" t="s">
        <v>84</v>
      </c>
      <c r="I145" s="25" t="s">
        <v>76</v>
      </c>
      <c r="J145" s="25" t="s">
        <v>95</v>
      </c>
      <c r="K145" s="26" t="s">
        <v>8</v>
      </c>
      <c r="L145" s="45">
        <v>479.48244999999997</v>
      </c>
      <c r="M145" s="45">
        <v>0</v>
      </c>
      <c r="N145" s="45">
        <v>0</v>
      </c>
      <c r="O145" s="45">
        <f>N145</f>
        <v>0</v>
      </c>
      <c r="P145" s="45">
        <f>N145</f>
        <v>0</v>
      </c>
      <c r="Q145" s="45">
        <f>N145</f>
        <v>0</v>
      </c>
      <c r="R145" s="98">
        <f>O145</f>
        <v>0</v>
      </c>
      <c r="S145" s="121"/>
      <c r="T145" s="121"/>
      <c r="U145" s="121"/>
    </row>
    <row r="146" spans="1:21" ht="36.75" customHeight="1" x14ac:dyDescent="0.25">
      <c r="A146" s="175" t="s">
        <v>68</v>
      </c>
      <c r="B146" s="175" t="s">
        <v>71</v>
      </c>
      <c r="C146" s="175" t="s">
        <v>82</v>
      </c>
      <c r="D146" s="7"/>
      <c r="E146" s="179" t="s">
        <v>123</v>
      </c>
      <c r="F146" s="10" t="s">
        <v>38</v>
      </c>
      <c r="G146" s="25" t="s">
        <v>26</v>
      </c>
      <c r="H146" s="25" t="s">
        <v>84</v>
      </c>
      <c r="I146" s="25" t="s">
        <v>76</v>
      </c>
      <c r="J146" s="25" t="s">
        <v>141</v>
      </c>
      <c r="K146" s="26" t="s">
        <v>7</v>
      </c>
      <c r="L146" s="45">
        <v>516.5</v>
      </c>
      <c r="M146" s="45">
        <v>0</v>
      </c>
      <c r="N146" s="45">
        <v>0</v>
      </c>
      <c r="O146" s="45">
        <f>N146</f>
        <v>0</v>
      </c>
      <c r="P146" s="45">
        <f>N146</f>
        <v>0</v>
      </c>
      <c r="Q146" s="45">
        <f>N146</f>
        <v>0</v>
      </c>
      <c r="R146" s="98">
        <f>O146</f>
        <v>0</v>
      </c>
      <c r="S146" s="121"/>
      <c r="T146" s="121"/>
      <c r="U146" s="121"/>
    </row>
    <row r="147" spans="1:21" ht="24" customHeight="1" x14ac:dyDescent="0.25">
      <c r="A147" s="181"/>
      <c r="B147" s="181"/>
      <c r="C147" s="181"/>
      <c r="D147" s="7"/>
      <c r="E147" s="177"/>
      <c r="F147" s="179" t="s">
        <v>186</v>
      </c>
      <c r="G147" s="57" t="s">
        <v>16</v>
      </c>
      <c r="H147" s="25" t="s">
        <v>84</v>
      </c>
      <c r="I147" s="25" t="s">
        <v>76</v>
      </c>
      <c r="J147" s="25" t="s">
        <v>154</v>
      </c>
      <c r="K147" s="26" t="s">
        <v>7</v>
      </c>
      <c r="L147" s="45">
        <v>0</v>
      </c>
      <c r="M147" s="45">
        <v>40</v>
      </c>
      <c r="N147" s="45">
        <v>0</v>
      </c>
      <c r="O147" s="45">
        <v>0</v>
      </c>
      <c r="P147" s="45">
        <v>0</v>
      </c>
      <c r="Q147" s="45">
        <v>0</v>
      </c>
      <c r="R147" s="98">
        <v>0</v>
      </c>
      <c r="S147" s="121"/>
      <c r="T147" s="121"/>
      <c r="U147" s="121"/>
    </row>
    <row r="148" spans="1:21" ht="23.25" customHeight="1" x14ac:dyDescent="0.25">
      <c r="A148" s="181"/>
      <c r="B148" s="181"/>
      <c r="C148" s="181"/>
      <c r="D148" s="7"/>
      <c r="E148" s="177"/>
      <c r="F148" s="180"/>
      <c r="G148" s="58" t="s">
        <v>16</v>
      </c>
      <c r="H148" s="25" t="s">
        <v>84</v>
      </c>
      <c r="I148" s="25" t="s">
        <v>78</v>
      </c>
      <c r="J148" s="25" t="s">
        <v>154</v>
      </c>
      <c r="K148" s="26" t="s">
        <v>7</v>
      </c>
      <c r="L148" s="45">
        <v>0</v>
      </c>
      <c r="M148" s="45">
        <v>0</v>
      </c>
      <c r="N148" s="45">
        <v>600</v>
      </c>
      <c r="O148" s="45">
        <v>5</v>
      </c>
      <c r="P148" s="45">
        <v>0</v>
      </c>
      <c r="Q148" s="45">
        <v>0</v>
      </c>
      <c r="R148" s="98">
        <v>0</v>
      </c>
      <c r="S148" s="121"/>
      <c r="T148" s="121"/>
      <c r="U148" s="121"/>
    </row>
    <row r="149" spans="1:21" ht="21.75" customHeight="1" x14ac:dyDescent="0.25">
      <c r="A149" s="181"/>
      <c r="B149" s="181"/>
      <c r="C149" s="181"/>
      <c r="D149" s="7"/>
      <c r="E149" s="177"/>
      <c r="F149" s="179" t="s">
        <v>37</v>
      </c>
      <c r="G149" s="25" t="s">
        <v>25</v>
      </c>
      <c r="H149" s="25" t="s">
        <v>84</v>
      </c>
      <c r="I149" s="25" t="s">
        <v>76</v>
      </c>
      <c r="J149" s="25" t="s">
        <v>113</v>
      </c>
      <c r="K149" s="26" t="s">
        <v>7</v>
      </c>
      <c r="L149" s="45">
        <v>2.64</v>
      </c>
      <c r="M149" s="45">
        <v>0</v>
      </c>
      <c r="N149" s="45">
        <v>0</v>
      </c>
      <c r="O149" s="45">
        <f>N149</f>
        <v>0</v>
      </c>
      <c r="P149" s="45">
        <f>N149</f>
        <v>0</v>
      </c>
      <c r="Q149" s="45">
        <f>N149</f>
        <v>0</v>
      </c>
      <c r="R149" s="98">
        <f>O149</f>
        <v>0</v>
      </c>
      <c r="S149" s="121"/>
      <c r="T149" s="121"/>
      <c r="U149" s="121"/>
    </row>
    <row r="150" spans="1:21" ht="21.75" customHeight="1" x14ac:dyDescent="0.25">
      <c r="A150" s="181"/>
      <c r="B150" s="181"/>
      <c r="C150" s="181"/>
      <c r="D150" s="7"/>
      <c r="E150" s="177"/>
      <c r="F150" s="177"/>
      <c r="G150" s="25" t="s">
        <v>25</v>
      </c>
      <c r="H150" s="25" t="s">
        <v>84</v>
      </c>
      <c r="I150" s="25" t="s">
        <v>78</v>
      </c>
      <c r="J150" s="25" t="s">
        <v>154</v>
      </c>
      <c r="K150" s="26" t="s">
        <v>7</v>
      </c>
      <c r="L150" s="45">
        <v>0</v>
      </c>
      <c r="M150" s="45">
        <v>0</v>
      </c>
      <c r="N150" s="45">
        <v>450</v>
      </c>
      <c r="O150" s="45">
        <v>0</v>
      </c>
      <c r="P150" s="45">
        <v>725</v>
      </c>
      <c r="Q150" s="45">
        <v>0</v>
      </c>
      <c r="R150" s="98">
        <v>0</v>
      </c>
      <c r="S150" s="121"/>
      <c r="T150" s="121"/>
      <c r="U150" s="121"/>
    </row>
    <row r="151" spans="1:21" x14ac:dyDescent="0.25">
      <c r="A151" s="176"/>
      <c r="B151" s="176"/>
      <c r="C151" s="176"/>
      <c r="D151" s="7"/>
      <c r="E151" s="180"/>
      <c r="F151" s="180"/>
      <c r="G151" s="25" t="s">
        <v>25</v>
      </c>
      <c r="H151" s="25" t="s">
        <v>84</v>
      </c>
      <c r="I151" s="25" t="s">
        <v>76</v>
      </c>
      <c r="J151" s="25" t="s">
        <v>154</v>
      </c>
      <c r="K151" s="26" t="s">
        <v>7</v>
      </c>
      <c r="L151" s="45">
        <v>0</v>
      </c>
      <c r="M151" s="45">
        <v>312.5</v>
      </c>
      <c r="N151" s="45">
        <v>0</v>
      </c>
      <c r="O151" s="45">
        <v>0</v>
      </c>
      <c r="P151" s="45">
        <v>0</v>
      </c>
      <c r="Q151" s="45">
        <v>0</v>
      </c>
      <c r="R151" s="98">
        <v>0</v>
      </c>
      <c r="S151" s="121"/>
      <c r="T151" s="121"/>
      <c r="U151" s="121"/>
    </row>
    <row r="152" spans="1:21" ht="25.5" customHeight="1" x14ac:dyDescent="0.25">
      <c r="A152" s="7" t="s">
        <v>68</v>
      </c>
      <c r="B152" s="7" t="s">
        <v>71</v>
      </c>
      <c r="C152" s="7" t="s">
        <v>84</v>
      </c>
      <c r="D152" s="7"/>
      <c r="E152" s="4" t="s">
        <v>135</v>
      </c>
      <c r="F152" s="10" t="s">
        <v>37</v>
      </c>
      <c r="G152" s="25" t="s">
        <v>25</v>
      </c>
      <c r="H152" s="25" t="s">
        <v>84</v>
      </c>
      <c r="I152" s="25" t="s">
        <v>76</v>
      </c>
      <c r="J152" s="25" t="s">
        <v>134</v>
      </c>
      <c r="K152" s="26" t="s">
        <v>7</v>
      </c>
      <c r="L152" s="45">
        <v>220</v>
      </c>
      <c r="M152" s="45">
        <v>0</v>
      </c>
      <c r="N152" s="45">
        <v>0</v>
      </c>
      <c r="O152" s="45">
        <f>N152</f>
        <v>0</v>
      </c>
      <c r="P152" s="45">
        <f>N152</f>
        <v>0</v>
      </c>
      <c r="Q152" s="45">
        <f>N152</f>
        <v>0</v>
      </c>
      <c r="R152" s="98">
        <f>O152</f>
        <v>0</v>
      </c>
      <c r="S152" s="121"/>
      <c r="T152" s="121"/>
      <c r="U152" s="121"/>
    </row>
    <row r="153" spans="1:21" ht="24" customHeight="1" x14ac:dyDescent="0.25">
      <c r="A153" s="7" t="s">
        <v>68</v>
      </c>
      <c r="B153" s="7" t="s">
        <v>71</v>
      </c>
      <c r="C153" s="7" t="s">
        <v>253</v>
      </c>
      <c r="D153" s="7"/>
      <c r="E153" s="4" t="s">
        <v>256</v>
      </c>
      <c r="F153" s="10" t="s">
        <v>37</v>
      </c>
      <c r="G153" s="25" t="s">
        <v>25</v>
      </c>
      <c r="H153" s="25" t="s">
        <v>84</v>
      </c>
      <c r="I153" s="25" t="s">
        <v>78</v>
      </c>
      <c r="J153" s="25" t="s">
        <v>254</v>
      </c>
      <c r="K153" s="26" t="s">
        <v>255</v>
      </c>
      <c r="L153" s="45">
        <v>0</v>
      </c>
      <c r="M153" s="45">
        <v>0</v>
      </c>
      <c r="N153" s="45">
        <v>0</v>
      </c>
      <c r="O153" s="45">
        <v>2464.3000000000002</v>
      </c>
      <c r="P153" s="45">
        <v>5420.8821200000002</v>
      </c>
      <c r="Q153" s="45">
        <v>6939.8</v>
      </c>
      <c r="R153" s="98">
        <v>6939.8</v>
      </c>
      <c r="S153" s="121">
        <v>6939.8</v>
      </c>
      <c r="T153" s="121">
        <v>7217.4</v>
      </c>
      <c r="U153" s="121">
        <v>7506.1</v>
      </c>
    </row>
    <row r="154" spans="1:21" s="37" customFormat="1" ht="12.75" customHeight="1" x14ac:dyDescent="0.25">
      <c r="A154" s="188" t="s">
        <v>68</v>
      </c>
      <c r="B154" s="188" t="s">
        <v>87</v>
      </c>
      <c r="C154" s="188"/>
      <c r="D154" s="188"/>
      <c r="E154" s="191" t="s">
        <v>257</v>
      </c>
      <c r="F154" s="19" t="s">
        <v>36</v>
      </c>
      <c r="G154" s="27"/>
      <c r="H154" s="27"/>
      <c r="I154" s="27"/>
      <c r="J154" s="27"/>
      <c r="K154" s="27"/>
      <c r="L154" s="42">
        <f>L155+L157</f>
        <v>9364.344000000001</v>
      </c>
      <c r="M154" s="42">
        <f>M155+M157</f>
        <v>9442.7569999999996</v>
      </c>
      <c r="N154" s="42">
        <f>N155+N157</f>
        <v>8978.1319999999996</v>
      </c>
      <c r="O154" s="42">
        <f>O155+O157</f>
        <v>10909.468999999999</v>
      </c>
      <c r="P154" s="42">
        <f t="shared" ref="P154:U154" si="13">P155+P157+P156</f>
        <v>11564.873</v>
      </c>
      <c r="Q154" s="42">
        <f>SUM(Q158:Q177)</f>
        <v>11349.199999999999</v>
      </c>
      <c r="R154" s="42">
        <f t="shared" si="13"/>
        <v>6762.3</v>
      </c>
      <c r="S154" s="42">
        <f t="shared" si="13"/>
        <v>6824.3</v>
      </c>
      <c r="T154" s="42">
        <f t="shared" si="13"/>
        <v>7097.2</v>
      </c>
      <c r="U154" s="42">
        <f t="shared" si="13"/>
        <v>7381.0999999999995</v>
      </c>
    </row>
    <row r="155" spans="1:21" s="37" customFormat="1" ht="33.75" x14ac:dyDescent="0.25">
      <c r="A155" s="189"/>
      <c r="B155" s="189"/>
      <c r="C155" s="189"/>
      <c r="D155" s="189"/>
      <c r="E155" s="192"/>
      <c r="F155" s="20" t="s">
        <v>37</v>
      </c>
      <c r="G155" s="24" t="s">
        <v>25</v>
      </c>
      <c r="H155" s="27"/>
      <c r="I155" s="27"/>
      <c r="J155" s="27"/>
      <c r="K155" s="27"/>
      <c r="L155" s="43">
        <f>L167+L168+L169</f>
        <v>3424.056</v>
      </c>
      <c r="M155" s="43">
        <f>M169+M171</f>
        <v>3269.6499999999996</v>
      </c>
      <c r="N155" s="43">
        <f t="shared" ref="N155:U155" si="14">N167+N168+N169+N171+N170</f>
        <v>3172.7</v>
      </c>
      <c r="O155" s="43">
        <f t="shared" si="14"/>
        <v>4299.8999999999996</v>
      </c>
      <c r="P155" s="43">
        <f t="shared" si="14"/>
        <v>4756.7860000000001</v>
      </c>
      <c r="Q155" s="43">
        <f>Q167+Q168+Q169+Q171+Q170</f>
        <v>4884.8999999999996</v>
      </c>
      <c r="R155" s="43">
        <f t="shared" si="14"/>
        <v>235</v>
      </c>
      <c r="S155" s="43">
        <f t="shared" si="14"/>
        <v>235</v>
      </c>
      <c r="T155" s="43">
        <f t="shared" si="14"/>
        <v>244.4</v>
      </c>
      <c r="U155" s="43">
        <f t="shared" si="14"/>
        <v>254.2</v>
      </c>
    </row>
    <row r="156" spans="1:21" s="37" customFormat="1" ht="33.75" x14ac:dyDescent="0.25">
      <c r="A156" s="189"/>
      <c r="B156" s="189"/>
      <c r="C156" s="189"/>
      <c r="D156" s="189"/>
      <c r="E156" s="192"/>
      <c r="F156" s="20" t="s">
        <v>38</v>
      </c>
      <c r="G156" s="24" t="s">
        <v>26</v>
      </c>
      <c r="H156" s="27"/>
      <c r="I156" s="27"/>
      <c r="J156" s="27"/>
      <c r="K156" s="27"/>
      <c r="L156" s="43"/>
      <c r="M156" s="43"/>
      <c r="N156" s="43"/>
      <c r="O156" s="43"/>
      <c r="P156" s="43">
        <f t="shared" ref="P156:U156" si="15">P166+P175+P177</f>
        <v>0</v>
      </c>
      <c r="Q156" s="43">
        <f t="shared" si="15"/>
        <v>6464.3</v>
      </c>
      <c r="R156" s="43">
        <f t="shared" si="15"/>
        <v>6527.3</v>
      </c>
      <c r="S156" s="43">
        <f t="shared" si="15"/>
        <v>6589.3</v>
      </c>
      <c r="T156" s="43">
        <f t="shared" si="15"/>
        <v>6852.8</v>
      </c>
      <c r="U156" s="43">
        <f t="shared" si="15"/>
        <v>7126.9</v>
      </c>
    </row>
    <row r="157" spans="1:21" s="37" customFormat="1" ht="22.5" x14ac:dyDescent="0.25">
      <c r="A157" s="190"/>
      <c r="B157" s="190"/>
      <c r="C157" s="190"/>
      <c r="D157" s="190"/>
      <c r="E157" s="193"/>
      <c r="F157" s="47" t="s">
        <v>20</v>
      </c>
      <c r="G157" s="24" t="s">
        <v>16</v>
      </c>
      <c r="H157" s="27"/>
      <c r="I157" s="27"/>
      <c r="J157" s="27"/>
      <c r="K157" s="27"/>
      <c r="L157" s="43">
        <f>L158+L161+L163+L164+L165</f>
        <v>5940.2880000000005</v>
      </c>
      <c r="M157" s="43">
        <f>M159+M160+M162</f>
        <v>6173.107</v>
      </c>
      <c r="N157" s="43">
        <f>N159+N160+N162+N174+N176</f>
        <v>5805.4319999999998</v>
      </c>
      <c r="O157" s="43">
        <f>O159+O160+O162+O174+O176</f>
        <v>6609.5689999999995</v>
      </c>
      <c r="P157" s="43">
        <f t="shared" ref="P157:U157" si="16">P159+P172+P173+P174+P176</f>
        <v>6808.0870000000004</v>
      </c>
      <c r="Q157" s="43">
        <f t="shared" si="16"/>
        <v>0</v>
      </c>
      <c r="R157" s="43">
        <f t="shared" si="16"/>
        <v>0</v>
      </c>
      <c r="S157" s="43">
        <f t="shared" si="16"/>
        <v>0</v>
      </c>
      <c r="T157" s="43">
        <f t="shared" si="16"/>
        <v>0</v>
      </c>
      <c r="U157" s="43">
        <f t="shared" si="16"/>
        <v>0</v>
      </c>
    </row>
    <row r="158" spans="1:21" ht="18.75" customHeight="1" x14ac:dyDescent="0.25">
      <c r="A158" s="175" t="s">
        <v>68</v>
      </c>
      <c r="B158" s="175" t="s">
        <v>87</v>
      </c>
      <c r="C158" s="175" t="s">
        <v>68</v>
      </c>
      <c r="D158" s="48"/>
      <c r="E158" s="179" t="s">
        <v>15</v>
      </c>
      <c r="F158" s="179" t="s">
        <v>18</v>
      </c>
      <c r="G158" s="25" t="s">
        <v>16</v>
      </c>
      <c r="H158" s="25" t="s">
        <v>84</v>
      </c>
      <c r="I158" s="25" t="s">
        <v>84</v>
      </c>
      <c r="J158" s="25" t="s">
        <v>122</v>
      </c>
      <c r="K158" s="26" t="s">
        <v>10</v>
      </c>
      <c r="L158" s="45">
        <f>14.53545+65.96455+19.5</f>
        <v>100</v>
      </c>
      <c r="M158" s="45">
        <v>0</v>
      </c>
      <c r="N158" s="45">
        <v>0</v>
      </c>
      <c r="O158" s="45">
        <v>0</v>
      </c>
      <c r="P158" s="45">
        <v>0</v>
      </c>
      <c r="Q158" s="129">
        <v>0</v>
      </c>
      <c r="R158" s="130">
        <v>0</v>
      </c>
      <c r="S158" s="131"/>
      <c r="T158" s="131"/>
      <c r="U158" s="131"/>
    </row>
    <row r="159" spans="1:21" ht="27.75" customHeight="1" x14ac:dyDescent="0.25">
      <c r="A159" s="181"/>
      <c r="B159" s="181"/>
      <c r="C159" s="181"/>
      <c r="D159" s="49"/>
      <c r="E159" s="177"/>
      <c r="F159" s="177"/>
      <c r="G159" s="25" t="s">
        <v>16</v>
      </c>
      <c r="H159" s="25" t="s">
        <v>84</v>
      </c>
      <c r="I159" s="25" t="s">
        <v>84</v>
      </c>
      <c r="J159" s="25" t="s">
        <v>169</v>
      </c>
      <c r="K159" s="26" t="s">
        <v>203</v>
      </c>
      <c r="L159" s="45">
        <v>0</v>
      </c>
      <c r="M159" s="45">
        <f>92+8</f>
        <v>100</v>
      </c>
      <c r="N159" s="45">
        <f>92+8</f>
        <v>100</v>
      </c>
      <c r="O159" s="45">
        <f>92+8</f>
        <v>100</v>
      </c>
      <c r="P159" s="45">
        <f>115+8</f>
        <v>123</v>
      </c>
      <c r="Q159" s="129"/>
      <c r="R159" s="130"/>
      <c r="S159" s="131"/>
      <c r="T159" s="131"/>
      <c r="U159" s="131"/>
    </row>
    <row r="160" spans="1:21" x14ac:dyDescent="0.25">
      <c r="A160" s="181"/>
      <c r="B160" s="181"/>
      <c r="C160" s="181"/>
      <c r="D160" s="49"/>
      <c r="E160" s="177"/>
      <c r="F160" s="177"/>
      <c r="G160" s="25" t="s">
        <v>16</v>
      </c>
      <c r="H160" s="25" t="s">
        <v>84</v>
      </c>
      <c r="I160" s="25" t="s">
        <v>84</v>
      </c>
      <c r="J160" s="25" t="s">
        <v>183</v>
      </c>
      <c r="K160" s="26" t="s">
        <v>10</v>
      </c>
      <c r="L160" s="45">
        <v>0</v>
      </c>
      <c r="M160" s="45">
        <v>254.90700000000001</v>
      </c>
      <c r="N160" s="45">
        <v>286.93200000000002</v>
      </c>
      <c r="O160" s="45">
        <v>326.66899999999998</v>
      </c>
      <c r="P160" s="45">
        <v>0</v>
      </c>
      <c r="Q160" s="129">
        <v>0</v>
      </c>
      <c r="R160" s="130">
        <v>0</v>
      </c>
      <c r="S160" s="131"/>
      <c r="T160" s="131"/>
      <c r="U160" s="131"/>
    </row>
    <row r="161" spans="1:21" x14ac:dyDescent="0.25">
      <c r="A161" s="181"/>
      <c r="B161" s="181"/>
      <c r="C161" s="181"/>
      <c r="D161" s="49"/>
      <c r="E161" s="177"/>
      <c r="F161" s="177"/>
      <c r="G161" s="25" t="s">
        <v>16</v>
      </c>
      <c r="H161" s="25" t="s">
        <v>84</v>
      </c>
      <c r="I161" s="25" t="s">
        <v>84</v>
      </c>
      <c r="J161" s="25" t="s">
        <v>120</v>
      </c>
      <c r="K161" s="26" t="s">
        <v>12</v>
      </c>
      <c r="L161" s="45">
        <f>4139.04642+1248.085+2.185</f>
        <v>5389.3164200000001</v>
      </c>
      <c r="M161" s="45">
        <v>0</v>
      </c>
      <c r="N161" s="45">
        <v>0</v>
      </c>
      <c r="O161" s="45">
        <f>N161</f>
        <v>0</v>
      </c>
      <c r="P161" s="45">
        <f>O161</f>
        <v>0</v>
      </c>
      <c r="Q161" s="129">
        <f>O161</f>
        <v>0</v>
      </c>
      <c r="R161" s="130">
        <f>P161</f>
        <v>0</v>
      </c>
      <c r="S161" s="131"/>
      <c r="T161" s="131"/>
      <c r="U161" s="131"/>
    </row>
    <row r="162" spans="1:21" ht="42" customHeight="1" x14ac:dyDescent="0.25">
      <c r="A162" s="181"/>
      <c r="B162" s="181"/>
      <c r="C162" s="181"/>
      <c r="D162" s="49"/>
      <c r="E162" s="177"/>
      <c r="F162" s="177"/>
      <c r="G162" s="25" t="s">
        <v>16</v>
      </c>
      <c r="H162" s="25" t="s">
        <v>84</v>
      </c>
      <c r="I162" s="25" t="s">
        <v>84</v>
      </c>
      <c r="J162" s="25" t="s">
        <v>170</v>
      </c>
      <c r="K162" s="26" t="s">
        <v>148</v>
      </c>
      <c r="L162" s="45">
        <v>0</v>
      </c>
      <c r="M162" s="45">
        <f>4356+3.6225+1302.81034+49.35062+96.51654+4.9+5</f>
        <v>5818.2</v>
      </c>
      <c r="N162" s="45">
        <v>0</v>
      </c>
      <c r="O162" s="45">
        <v>0</v>
      </c>
      <c r="P162" s="45">
        <v>0</v>
      </c>
      <c r="Q162" s="129">
        <v>0</v>
      </c>
      <c r="R162" s="130">
        <v>0</v>
      </c>
      <c r="S162" s="131"/>
      <c r="T162" s="131"/>
      <c r="U162" s="131"/>
    </row>
    <row r="163" spans="1:21" x14ac:dyDescent="0.25">
      <c r="A163" s="181"/>
      <c r="B163" s="181"/>
      <c r="C163" s="181"/>
      <c r="D163" s="49"/>
      <c r="E163" s="177"/>
      <c r="F163" s="177"/>
      <c r="G163" s="25" t="s">
        <v>16</v>
      </c>
      <c r="H163" s="25" t="s">
        <v>84</v>
      </c>
      <c r="I163" s="25" t="s">
        <v>84</v>
      </c>
      <c r="J163" s="25" t="s">
        <v>121</v>
      </c>
      <c r="K163" s="26" t="s">
        <v>13</v>
      </c>
      <c r="L163" s="45">
        <v>2.7949999999999999</v>
      </c>
      <c r="M163" s="45">
        <v>0</v>
      </c>
      <c r="N163" s="45">
        <v>0</v>
      </c>
      <c r="O163" s="45">
        <f>N163</f>
        <v>0</v>
      </c>
      <c r="P163" s="45">
        <f>O163</f>
        <v>0</v>
      </c>
      <c r="Q163" s="129">
        <f t="shared" ref="Q163:R168" si="17">O163</f>
        <v>0</v>
      </c>
      <c r="R163" s="130">
        <f t="shared" si="17"/>
        <v>0</v>
      </c>
      <c r="S163" s="131"/>
      <c r="T163" s="131"/>
      <c r="U163" s="131"/>
    </row>
    <row r="164" spans="1:21" ht="29.25" customHeight="1" x14ac:dyDescent="0.25">
      <c r="A164" s="181"/>
      <c r="B164" s="181"/>
      <c r="C164" s="181"/>
      <c r="D164" s="49"/>
      <c r="E164" s="177"/>
      <c r="F164" s="177"/>
      <c r="G164" s="25" t="s">
        <v>16</v>
      </c>
      <c r="H164" s="25" t="s">
        <v>84</v>
      </c>
      <c r="I164" s="25" t="s">
        <v>84</v>
      </c>
      <c r="J164" s="25" t="s">
        <v>120</v>
      </c>
      <c r="K164" s="26" t="s">
        <v>140</v>
      </c>
      <c r="L164" s="45">
        <f>9.2256+2.2+45.766+70.33069+4.6988+12.47+0.02249+1.68+10.247+8.065+5</f>
        <v>169.70558</v>
      </c>
      <c r="M164" s="45">
        <v>0</v>
      </c>
      <c r="N164" s="45">
        <v>0</v>
      </c>
      <c r="O164" s="45">
        <f>N164</f>
        <v>0</v>
      </c>
      <c r="P164" s="45">
        <f>O164</f>
        <v>0</v>
      </c>
      <c r="Q164" s="129">
        <f t="shared" si="17"/>
        <v>0</v>
      </c>
      <c r="R164" s="130">
        <f t="shared" si="17"/>
        <v>0</v>
      </c>
      <c r="S164" s="131"/>
      <c r="T164" s="131"/>
      <c r="U164" s="131"/>
    </row>
    <row r="165" spans="1:21" x14ac:dyDescent="0.25">
      <c r="A165" s="181"/>
      <c r="B165" s="181"/>
      <c r="C165" s="181"/>
      <c r="D165" s="49"/>
      <c r="E165" s="177"/>
      <c r="F165" s="180"/>
      <c r="G165" s="25" t="s">
        <v>16</v>
      </c>
      <c r="H165" s="25" t="s">
        <v>84</v>
      </c>
      <c r="I165" s="25" t="s">
        <v>85</v>
      </c>
      <c r="J165" s="25" t="s">
        <v>130</v>
      </c>
      <c r="K165" s="26" t="s">
        <v>10</v>
      </c>
      <c r="L165" s="45">
        <f>261.471+17</f>
        <v>278.471</v>
      </c>
      <c r="M165" s="45">
        <v>0</v>
      </c>
      <c r="N165" s="45">
        <v>0</v>
      </c>
      <c r="O165" s="45">
        <v>0</v>
      </c>
      <c r="P165" s="45">
        <f>O165</f>
        <v>0</v>
      </c>
      <c r="Q165" s="129">
        <f t="shared" si="17"/>
        <v>0</v>
      </c>
      <c r="R165" s="130">
        <f t="shared" si="17"/>
        <v>0</v>
      </c>
      <c r="S165" s="131"/>
      <c r="T165" s="131"/>
      <c r="U165" s="131"/>
    </row>
    <row r="166" spans="1:21" ht="33.75" x14ac:dyDescent="0.25">
      <c r="A166" s="181"/>
      <c r="B166" s="181"/>
      <c r="C166" s="181"/>
      <c r="D166" s="49"/>
      <c r="E166" s="177"/>
      <c r="F166" s="39" t="s">
        <v>38</v>
      </c>
      <c r="G166" s="25" t="s">
        <v>26</v>
      </c>
      <c r="H166" s="25" t="s">
        <v>84</v>
      </c>
      <c r="I166" s="25" t="s">
        <v>84</v>
      </c>
      <c r="J166" s="25" t="s">
        <v>169</v>
      </c>
      <c r="K166" s="26" t="s">
        <v>310</v>
      </c>
      <c r="L166" s="45"/>
      <c r="M166" s="45"/>
      <c r="N166" s="45"/>
      <c r="O166" s="45"/>
      <c r="P166" s="45"/>
      <c r="Q166" s="129">
        <f>90+8</f>
        <v>98</v>
      </c>
      <c r="R166" s="130">
        <v>98</v>
      </c>
      <c r="S166" s="131">
        <v>98</v>
      </c>
      <c r="T166" s="131">
        <v>101.9</v>
      </c>
      <c r="U166" s="131">
        <v>106</v>
      </c>
    </row>
    <row r="167" spans="1:21" ht="29.25" customHeight="1" x14ac:dyDescent="0.25">
      <c r="A167" s="181" t="s">
        <v>68</v>
      </c>
      <c r="B167" s="181" t="s">
        <v>87</v>
      </c>
      <c r="C167" s="181" t="s">
        <v>76</v>
      </c>
      <c r="D167" s="49"/>
      <c r="E167" s="177" t="s">
        <v>150</v>
      </c>
      <c r="F167" s="179" t="s">
        <v>17</v>
      </c>
      <c r="G167" s="25" t="s">
        <v>25</v>
      </c>
      <c r="H167" s="25" t="s">
        <v>84</v>
      </c>
      <c r="I167" s="25" t="s">
        <v>85</v>
      </c>
      <c r="J167" s="25" t="s">
        <v>130</v>
      </c>
      <c r="K167" s="26" t="s">
        <v>11</v>
      </c>
      <c r="L167" s="45">
        <f>791.42+2422.9</f>
        <v>3214.32</v>
      </c>
      <c r="M167" s="45">
        <v>0</v>
      </c>
      <c r="N167" s="45">
        <v>0</v>
      </c>
      <c r="O167" s="45">
        <v>0</v>
      </c>
      <c r="P167" s="45">
        <f>O167</f>
        <v>0</v>
      </c>
      <c r="Q167" s="129">
        <f t="shared" si="17"/>
        <v>0</v>
      </c>
      <c r="R167" s="130">
        <f t="shared" si="17"/>
        <v>0</v>
      </c>
      <c r="S167" s="131"/>
      <c r="T167" s="131"/>
      <c r="U167" s="131"/>
    </row>
    <row r="168" spans="1:21" ht="29.25" customHeight="1" x14ac:dyDescent="0.25">
      <c r="A168" s="181"/>
      <c r="B168" s="181"/>
      <c r="C168" s="181"/>
      <c r="D168" s="50"/>
      <c r="E168" s="177"/>
      <c r="F168" s="177"/>
      <c r="G168" s="25" t="s">
        <v>25</v>
      </c>
      <c r="H168" s="25" t="s">
        <v>84</v>
      </c>
      <c r="I168" s="25" t="s">
        <v>84</v>
      </c>
      <c r="J168" s="25" t="s">
        <v>115</v>
      </c>
      <c r="K168" s="26" t="s">
        <v>11</v>
      </c>
      <c r="L168" s="45">
        <f>29.736+180</f>
        <v>209.73599999999999</v>
      </c>
      <c r="M168" s="45">
        <v>0</v>
      </c>
      <c r="N168" s="45">
        <v>0</v>
      </c>
      <c r="O168" s="45">
        <f>N168</f>
        <v>0</v>
      </c>
      <c r="P168" s="45">
        <f>O168</f>
        <v>0</v>
      </c>
      <c r="Q168" s="129">
        <f t="shared" si="17"/>
        <v>0</v>
      </c>
      <c r="R168" s="130">
        <f t="shared" si="17"/>
        <v>0</v>
      </c>
      <c r="S168" s="131"/>
      <c r="T168" s="131"/>
      <c r="U168" s="131"/>
    </row>
    <row r="169" spans="1:21" ht="24" customHeight="1" x14ac:dyDescent="0.25">
      <c r="A169" s="181"/>
      <c r="B169" s="181"/>
      <c r="C169" s="181"/>
      <c r="D169" s="38"/>
      <c r="E169" s="177"/>
      <c r="F169" s="177"/>
      <c r="G169" s="25" t="s">
        <v>25</v>
      </c>
      <c r="H169" s="25" t="s">
        <v>84</v>
      </c>
      <c r="I169" s="25" t="s">
        <v>84</v>
      </c>
      <c r="J169" s="25" t="s">
        <v>151</v>
      </c>
      <c r="K169" s="26" t="s">
        <v>202</v>
      </c>
      <c r="L169" s="45">
        <v>0</v>
      </c>
      <c r="M169" s="45">
        <f>30+180</f>
        <v>210</v>
      </c>
      <c r="N169" s="45">
        <v>0</v>
      </c>
      <c r="O169" s="45">
        <v>0</v>
      </c>
      <c r="P169" s="45">
        <v>0</v>
      </c>
      <c r="Q169" s="129">
        <v>0</v>
      </c>
      <c r="R169" s="130">
        <v>0</v>
      </c>
      <c r="S169" s="131"/>
      <c r="T169" s="131"/>
      <c r="U169" s="131"/>
    </row>
    <row r="170" spans="1:21" ht="24.75" customHeight="1" x14ac:dyDescent="0.25">
      <c r="A170" s="181"/>
      <c r="B170" s="181"/>
      <c r="C170" s="181"/>
      <c r="D170" s="38"/>
      <c r="E170" s="177"/>
      <c r="F170" s="177"/>
      <c r="G170" s="25" t="s">
        <v>25</v>
      </c>
      <c r="H170" s="25" t="s">
        <v>84</v>
      </c>
      <c r="I170" s="25" t="s">
        <v>84</v>
      </c>
      <c r="J170" s="25" t="s">
        <v>217</v>
      </c>
      <c r="K170" s="26" t="s">
        <v>224</v>
      </c>
      <c r="L170" s="45">
        <v>0</v>
      </c>
      <c r="M170" s="45">
        <v>0</v>
      </c>
      <c r="N170" s="45">
        <f>15+43.2+179.5</f>
        <v>237.7</v>
      </c>
      <c r="O170" s="45">
        <v>221.8</v>
      </c>
      <c r="P170" s="45">
        <f>27.286+205</f>
        <v>232.286</v>
      </c>
      <c r="Q170" s="129">
        <v>235</v>
      </c>
      <c r="R170" s="130">
        <v>235</v>
      </c>
      <c r="S170" s="131">
        <v>235</v>
      </c>
      <c r="T170" s="131">
        <v>244.4</v>
      </c>
      <c r="U170" s="131">
        <v>254.2</v>
      </c>
    </row>
    <row r="171" spans="1:21" x14ac:dyDescent="0.25">
      <c r="A171" s="181"/>
      <c r="B171" s="181"/>
      <c r="C171" s="181"/>
      <c r="D171" s="38"/>
      <c r="E171" s="177"/>
      <c r="F171" s="180"/>
      <c r="G171" s="25" t="s">
        <v>25</v>
      </c>
      <c r="H171" s="25" t="s">
        <v>84</v>
      </c>
      <c r="I171" s="25" t="s">
        <v>84</v>
      </c>
      <c r="J171" s="25" t="s">
        <v>184</v>
      </c>
      <c r="K171" s="26" t="s">
        <v>152</v>
      </c>
      <c r="L171" s="45">
        <v>0</v>
      </c>
      <c r="M171" s="45">
        <f>586.05+2473.6</f>
        <v>3059.6499999999996</v>
      </c>
      <c r="N171" s="45">
        <f>585.9+2349.1</f>
        <v>2935</v>
      </c>
      <c r="O171" s="45">
        <f>765.38+3312.72</f>
        <v>4078.1</v>
      </c>
      <c r="P171" s="45">
        <f>801.584+3722.916</f>
        <v>4524.5</v>
      </c>
      <c r="Q171" s="129">
        <f>897.5+3752.4</f>
        <v>4649.8999999999996</v>
      </c>
      <c r="R171" s="130">
        <v>0</v>
      </c>
      <c r="S171" s="131"/>
      <c r="T171" s="131"/>
      <c r="U171" s="131"/>
    </row>
    <row r="172" spans="1:21" ht="22.5" customHeight="1" x14ac:dyDescent="0.25">
      <c r="A172" s="181"/>
      <c r="B172" s="181"/>
      <c r="C172" s="181"/>
      <c r="D172" s="38"/>
      <c r="E172" s="177"/>
      <c r="F172" s="173" t="s">
        <v>20</v>
      </c>
      <c r="G172" s="25" t="s">
        <v>16</v>
      </c>
      <c r="H172" s="25" t="s">
        <v>84</v>
      </c>
      <c r="I172" s="25" t="s">
        <v>84</v>
      </c>
      <c r="J172" s="25" t="s">
        <v>184</v>
      </c>
      <c r="K172" s="26" t="s">
        <v>10</v>
      </c>
      <c r="L172" s="45"/>
      <c r="M172" s="45"/>
      <c r="N172" s="45"/>
      <c r="O172" s="45"/>
      <c r="P172" s="45">
        <v>373.78699999999998</v>
      </c>
      <c r="Q172" s="129"/>
      <c r="R172" s="130"/>
      <c r="S172" s="131"/>
      <c r="T172" s="131"/>
      <c r="U172" s="131"/>
    </row>
    <row r="173" spans="1:21" x14ac:dyDescent="0.25">
      <c r="A173" s="176"/>
      <c r="B173" s="176"/>
      <c r="C173" s="176"/>
      <c r="D173" s="38"/>
      <c r="E173" s="180"/>
      <c r="F173" s="174"/>
      <c r="G173" s="25" t="s">
        <v>16</v>
      </c>
      <c r="H173" s="25" t="s">
        <v>84</v>
      </c>
      <c r="I173" s="25" t="s">
        <v>84</v>
      </c>
      <c r="J173" s="25" t="s">
        <v>217</v>
      </c>
      <c r="K173" s="26" t="s">
        <v>10</v>
      </c>
      <c r="L173" s="45"/>
      <c r="M173" s="45"/>
      <c r="N173" s="45"/>
      <c r="O173" s="45"/>
      <c r="P173" s="45">
        <v>5</v>
      </c>
      <c r="Q173" s="129"/>
      <c r="R173" s="130"/>
      <c r="S173" s="131"/>
      <c r="T173" s="131"/>
      <c r="U173" s="131"/>
    </row>
    <row r="174" spans="1:21" ht="25.5" customHeight="1" x14ac:dyDescent="0.25">
      <c r="A174" s="175" t="s">
        <v>68</v>
      </c>
      <c r="B174" s="175" t="s">
        <v>87</v>
      </c>
      <c r="C174" s="175" t="s">
        <v>78</v>
      </c>
      <c r="D174" s="38"/>
      <c r="E174" s="173" t="s">
        <v>204</v>
      </c>
      <c r="F174" s="52" t="s">
        <v>20</v>
      </c>
      <c r="G174" s="25" t="s">
        <v>16</v>
      </c>
      <c r="H174" s="25" t="s">
        <v>84</v>
      </c>
      <c r="I174" s="25" t="s">
        <v>84</v>
      </c>
      <c r="J174" s="25" t="s">
        <v>205</v>
      </c>
      <c r="K174" s="26" t="s">
        <v>216</v>
      </c>
      <c r="L174" s="45">
        <v>0</v>
      </c>
      <c r="M174" s="45">
        <v>0</v>
      </c>
      <c r="N174" s="45">
        <f>3951.87817+2.875+1320.24683</f>
        <v>5275</v>
      </c>
      <c r="O174" s="45">
        <v>5978</v>
      </c>
      <c r="P174" s="45">
        <f>4651.21341+3+1505.78659</f>
        <v>6160</v>
      </c>
      <c r="Q174" s="129"/>
      <c r="R174" s="130"/>
      <c r="S174" s="131"/>
      <c r="T174" s="131"/>
      <c r="U174" s="131"/>
    </row>
    <row r="175" spans="1:21" ht="25.5" customHeight="1" x14ac:dyDescent="0.25">
      <c r="A175" s="176"/>
      <c r="B175" s="176"/>
      <c r="C175" s="176"/>
      <c r="D175" s="38"/>
      <c r="E175" s="174"/>
      <c r="F175" s="52" t="s">
        <v>38</v>
      </c>
      <c r="G175" s="25" t="s">
        <v>26</v>
      </c>
      <c r="H175" s="25" t="s">
        <v>84</v>
      </c>
      <c r="I175" s="25" t="s">
        <v>84</v>
      </c>
      <c r="J175" s="25" t="s">
        <v>205</v>
      </c>
      <c r="K175" s="26" t="s">
        <v>317</v>
      </c>
      <c r="L175" s="45"/>
      <c r="M175" s="45"/>
      <c r="N175" s="45"/>
      <c r="O175" s="45"/>
      <c r="P175" s="45"/>
      <c r="Q175" s="129">
        <f>4750.72622+3+1441+21.27378</f>
        <v>6216</v>
      </c>
      <c r="R175" s="130">
        <v>6279</v>
      </c>
      <c r="S175" s="131">
        <v>6341</v>
      </c>
      <c r="T175" s="131">
        <v>6594.6</v>
      </c>
      <c r="U175" s="131">
        <v>6858.4</v>
      </c>
    </row>
    <row r="176" spans="1:21" ht="27.75" customHeight="1" x14ac:dyDescent="0.25">
      <c r="A176" s="175" t="s">
        <v>68</v>
      </c>
      <c r="B176" s="175" t="s">
        <v>87</v>
      </c>
      <c r="C176" s="175" t="s">
        <v>80</v>
      </c>
      <c r="D176" s="38"/>
      <c r="E176" s="173" t="s">
        <v>206</v>
      </c>
      <c r="F176" s="52" t="s">
        <v>20</v>
      </c>
      <c r="G176" s="25" t="s">
        <v>16</v>
      </c>
      <c r="H176" s="25" t="s">
        <v>84</v>
      </c>
      <c r="I176" s="25" t="s">
        <v>84</v>
      </c>
      <c r="J176" s="25" t="s">
        <v>207</v>
      </c>
      <c r="K176" s="138" t="s">
        <v>223</v>
      </c>
      <c r="L176" s="139">
        <v>0</v>
      </c>
      <c r="M176" s="139">
        <v>0</v>
      </c>
      <c r="N176" s="139">
        <f>47.42628+87.67486+3.2+5.19886</f>
        <v>143.49999999999997</v>
      </c>
      <c r="O176" s="139">
        <v>204.9</v>
      </c>
      <c r="P176" s="139">
        <f>140.3+6</f>
        <v>146.30000000000001</v>
      </c>
      <c r="Q176" s="147"/>
      <c r="R176" s="140"/>
      <c r="S176" s="141"/>
      <c r="T176" s="141"/>
      <c r="U176" s="141"/>
    </row>
    <row r="177" spans="1:21" ht="27.75" customHeight="1" x14ac:dyDescent="0.25">
      <c r="A177" s="176"/>
      <c r="B177" s="176"/>
      <c r="C177" s="176"/>
      <c r="D177" s="38"/>
      <c r="E177" s="174"/>
      <c r="F177" s="52" t="s">
        <v>38</v>
      </c>
      <c r="G177" s="25" t="s">
        <v>26</v>
      </c>
      <c r="H177" s="25" t="s">
        <v>84</v>
      </c>
      <c r="I177" s="25" t="s">
        <v>84</v>
      </c>
      <c r="J177" s="128" t="s">
        <v>207</v>
      </c>
      <c r="K177" s="144" t="s">
        <v>311</v>
      </c>
      <c r="L177" s="145"/>
      <c r="M177" s="145"/>
      <c r="N177" s="145"/>
      <c r="O177" s="145"/>
      <c r="P177" s="145"/>
      <c r="Q177" s="146">
        <f>144.3+6</f>
        <v>150.30000000000001</v>
      </c>
      <c r="R177" s="146">
        <v>150.30000000000001</v>
      </c>
      <c r="S177" s="131">
        <v>150.30000000000001</v>
      </c>
      <c r="T177" s="131">
        <v>156.30000000000001</v>
      </c>
      <c r="U177" s="131">
        <v>162.5</v>
      </c>
    </row>
    <row r="178" spans="1:21" s="37" customFormat="1" ht="12.75" customHeight="1" x14ac:dyDescent="0.25">
      <c r="A178" s="186" t="s">
        <v>68</v>
      </c>
      <c r="B178" s="186" t="s">
        <v>72</v>
      </c>
      <c r="C178" s="186"/>
      <c r="D178" s="186"/>
      <c r="E178" s="187" t="s">
        <v>270</v>
      </c>
      <c r="F178" s="19" t="s">
        <v>36</v>
      </c>
      <c r="G178" s="27"/>
      <c r="H178" s="27"/>
      <c r="I178" s="27"/>
      <c r="J178" s="27"/>
      <c r="K178" s="142"/>
      <c r="L178" s="143">
        <f>L180</f>
        <v>21435.16852000001</v>
      </c>
      <c r="M178" s="143">
        <f>M180+M179</f>
        <v>22200.189399999996</v>
      </c>
      <c r="N178" s="143">
        <f t="shared" ref="N178:U178" si="18">N180</f>
        <v>23413.766</v>
      </c>
      <c r="O178" s="143">
        <f t="shared" si="18"/>
        <v>25425.110639999999</v>
      </c>
      <c r="P178" s="143">
        <f t="shared" si="18"/>
        <v>26117.360999999997</v>
      </c>
      <c r="Q178" s="143">
        <f t="shared" si="18"/>
        <v>26948.3</v>
      </c>
      <c r="R178" s="143">
        <f t="shared" si="18"/>
        <v>27657.9</v>
      </c>
      <c r="S178" s="143">
        <f t="shared" si="18"/>
        <v>28540.7</v>
      </c>
      <c r="T178" s="143">
        <f t="shared" si="18"/>
        <v>29682.3</v>
      </c>
      <c r="U178" s="143">
        <f t="shared" si="18"/>
        <v>30869.699999999997</v>
      </c>
    </row>
    <row r="179" spans="1:21" s="37" customFormat="1" ht="12.75" customHeight="1" x14ac:dyDescent="0.25">
      <c r="A179" s="186"/>
      <c r="B179" s="186"/>
      <c r="C179" s="186"/>
      <c r="D179" s="186"/>
      <c r="E179" s="187"/>
      <c r="F179" s="19" t="s">
        <v>18</v>
      </c>
      <c r="G179" s="27" t="s">
        <v>16</v>
      </c>
      <c r="H179" s="27"/>
      <c r="I179" s="27"/>
      <c r="J179" s="27"/>
      <c r="K179" s="27"/>
      <c r="L179" s="42">
        <f t="shared" ref="L179:U179" si="19">L193</f>
        <v>0</v>
      </c>
      <c r="M179" s="42">
        <f t="shared" si="19"/>
        <v>15.2334</v>
      </c>
      <c r="N179" s="42">
        <f t="shared" si="19"/>
        <v>0</v>
      </c>
      <c r="O179" s="42">
        <f t="shared" si="19"/>
        <v>0</v>
      </c>
      <c r="P179" s="42">
        <f t="shared" si="19"/>
        <v>0</v>
      </c>
      <c r="Q179" s="42">
        <f t="shared" si="19"/>
        <v>0</v>
      </c>
      <c r="R179" s="42">
        <f t="shared" si="19"/>
        <v>0</v>
      </c>
      <c r="S179" s="42">
        <f t="shared" si="19"/>
        <v>0</v>
      </c>
      <c r="T179" s="42">
        <f t="shared" si="19"/>
        <v>0</v>
      </c>
      <c r="U179" s="42">
        <f t="shared" si="19"/>
        <v>0</v>
      </c>
    </row>
    <row r="180" spans="1:21" s="37" customFormat="1" ht="18" customHeight="1" x14ac:dyDescent="0.25">
      <c r="A180" s="186"/>
      <c r="B180" s="186"/>
      <c r="C180" s="186"/>
      <c r="D180" s="186"/>
      <c r="E180" s="187"/>
      <c r="F180" s="20" t="s">
        <v>37</v>
      </c>
      <c r="G180" s="24" t="s">
        <v>25</v>
      </c>
      <c r="H180" s="24"/>
      <c r="I180" s="24"/>
      <c r="J180" s="24"/>
      <c r="K180" s="24"/>
      <c r="L180" s="43">
        <f t="shared" ref="L180:U180" si="20">SUM(L181:L192)</f>
        <v>21435.16852000001</v>
      </c>
      <c r="M180" s="43">
        <f t="shared" si="20"/>
        <v>22184.955999999995</v>
      </c>
      <c r="N180" s="43">
        <f t="shared" si="20"/>
        <v>23413.766</v>
      </c>
      <c r="O180" s="43">
        <f t="shared" si="20"/>
        <v>25425.110639999999</v>
      </c>
      <c r="P180" s="43">
        <f t="shared" si="20"/>
        <v>26117.360999999997</v>
      </c>
      <c r="Q180" s="43">
        <f>SUM(Q181:Q192)</f>
        <v>26948.3</v>
      </c>
      <c r="R180" s="43">
        <f t="shared" si="20"/>
        <v>27657.9</v>
      </c>
      <c r="S180" s="43">
        <f t="shared" si="20"/>
        <v>28540.7</v>
      </c>
      <c r="T180" s="43">
        <f t="shared" si="20"/>
        <v>29682.3</v>
      </c>
      <c r="U180" s="43">
        <f t="shared" si="20"/>
        <v>30869.699999999997</v>
      </c>
    </row>
    <row r="181" spans="1:21" ht="18" customHeight="1" x14ac:dyDescent="0.25">
      <c r="A181" s="175" t="s">
        <v>68</v>
      </c>
      <c r="B181" s="175" t="s">
        <v>72</v>
      </c>
      <c r="C181" s="175" t="s">
        <v>68</v>
      </c>
      <c r="D181" s="7"/>
      <c r="E181" s="179" t="s">
        <v>19</v>
      </c>
      <c r="F181" s="179" t="s">
        <v>37</v>
      </c>
      <c r="G181" s="25" t="s">
        <v>25</v>
      </c>
      <c r="H181" s="25" t="s">
        <v>84</v>
      </c>
      <c r="I181" s="25" t="s">
        <v>85</v>
      </c>
      <c r="J181" s="25" t="s">
        <v>117</v>
      </c>
      <c r="K181" s="26" t="s">
        <v>14</v>
      </c>
      <c r="L181" s="45">
        <f>2354+711</f>
        <v>3065</v>
      </c>
      <c r="M181" s="45">
        <v>0</v>
      </c>
      <c r="N181" s="45">
        <f>M181</f>
        <v>0</v>
      </c>
      <c r="O181" s="45">
        <f>N181</f>
        <v>0</v>
      </c>
      <c r="P181" s="45">
        <f>O181</f>
        <v>0</v>
      </c>
      <c r="Q181" s="132">
        <f>O181</f>
        <v>0</v>
      </c>
      <c r="R181" s="133">
        <f>P181</f>
        <v>0</v>
      </c>
      <c r="S181" s="134"/>
      <c r="T181" s="134"/>
      <c r="U181" s="134"/>
    </row>
    <row r="182" spans="1:21" ht="25.5" x14ac:dyDescent="0.25">
      <c r="A182" s="176"/>
      <c r="B182" s="176"/>
      <c r="C182" s="176"/>
      <c r="D182" s="7"/>
      <c r="E182" s="180"/>
      <c r="F182" s="180"/>
      <c r="G182" s="25" t="s">
        <v>25</v>
      </c>
      <c r="H182" s="25" t="s">
        <v>84</v>
      </c>
      <c r="I182" s="25" t="s">
        <v>85</v>
      </c>
      <c r="J182" s="25" t="s">
        <v>146</v>
      </c>
      <c r="K182" s="26" t="s">
        <v>305</v>
      </c>
      <c r="L182" s="45">
        <v>0</v>
      </c>
      <c r="M182" s="45">
        <f>2135.7+651.22</f>
        <v>2786.92</v>
      </c>
      <c r="N182" s="45">
        <f>1977+758</f>
        <v>2735</v>
      </c>
      <c r="O182" s="45">
        <v>2440</v>
      </c>
      <c r="P182" s="45">
        <f>1752.1+0.69+472.81</f>
        <v>2225.6</v>
      </c>
      <c r="Q182" s="132">
        <f>4589+0.7+1386</f>
        <v>5975.7</v>
      </c>
      <c r="R182" s="133">
        <v>6205.5</v>
      </c>
      <c r="S182" s="134">
        <v>6453.7</v>
      </c>
      <c r="T182" s="134">
        <v>6711.8</v>
      </c>
      <c r="U182" s="134">
        <v>6980.3</v>
      </c>
    </row>
    <row r="183" spans="1:21" ht="36" customHeight="1" x14ac:dyDescent="0.25">
      <c r="A183" s="175" t="s">
        <v>68</v>
      </c>
      <c r="B183" s="175" t="s">
        <v>72</v>
      </c>
      <c r="C183" s="175" t="s">
        <v>76</v>
      </c>
      <c r="D183" s="7"/>
      <c r="E183" s="179" t="s">
        <v>4</v>
      </c>
      <c r="F183" s="179" t="s">
        <v>37</v>
      </c>
      <c r="G183" s="25" t="s">
        <v>25</v>
      </c>
      <c r="H183" s="25" t="s">
        <v>84</v>
      </c>
      <c r="I183" s="25" t="s">
        <v>85</v>
      </c>
      <c r="J183" s="25" t="s">
        <v>118</v>
      </c>
      <c r="K183" s="26" t="s">
        <v>138</v>
      </c>
      <c r="L183" s="45">
        <f>10686.74322+3207.5213+33.56442+153.37665+666.4+132.975+529.267+271.93482+62.83+1917.30223+66.578+58.90388</f>
        <v>17787.396520000006</v>
      </c>
      <c r="M183" s="45">
        <v>0</v>
      </c>
      <c r="N183" s="45">
        <v>0</v>
      </c>
      <c r="O183" s="45">
        <f>N183</f>
        <v>0</v>
      </c>
      <c r="P183" s="45">
        <f>O183</f>
        <v>0</v>
      </c>
      <c r="Q183" s="132">
        <f>O183</f>
        <v>0</v>
      </c>
      <c r="R183" s="133">
        <f>P183</f>
        <v>0</v>
      </c>
      <c r="S183" s="134"/>
      <c r="T183" s="134"/>
      <c r="U183" s="134"/>
    </row>
    <row r="184" spans="1:21" x14ac:dyDescent="0.25">
      <c r="A184" s="181"/>
      <c r="B184" s="181"/>
      <c r="C184" s="181"/>
      <c r="D184" s="7"/>
      <c r="E184" s="177"/>
      <c r="F184" s="177"/>
      <c r="G184" s="25" t="s">
        <v>25</v>
      </c>
      <c r="H184" s="25" t="s">
        <v>84</v>
      </c>
      <c r="I184" s="25" t="s">
        <v>85</v>
      </c>
      <c r="J184" s="25" t="s">
        <v>261</v>
      </c>
      <c r="K184" s="26" t="s">
        <v>10</v>
      </c>
      <c r="L184" s="45">
        <v>0</v>
      </c>
      <c r="M184" s="45">
        <v>0</v>
      </c>
      <c r="N184" s="45">
        <v>0</v>
      </c>
      <c r="O184" s="45">
        <v>98.460639999999998</v>
      </c>
      <c r="P184" s="45">
        <v>100</v>
      </c>
      <c r="Q184" s="132">
        <v>0</v>
      </c>
      <c r="R184" s="133">
        <v>0</v>
      </c>
      <c r="S184" s="134"/>
      <c r="T184" s="134"/>
      <c r="U184" s="134"/>
    </row>
    <row r="185" spans="1:21" ht="42.75" customHeight="1" x14ac:dyDescent="0.25">
      <c r="A185" s="176"/>
      <c r="B185" s="176"/>
      <c r="C185" s="176"/>
      <c r="D185" s="7"/>
      <c r="E185" s="180"/>
      <c r="F185" s="180"/>
      <c r="G185" s="25" t="s">
        <v>25</v>
      </c>
      <c r="H185" s="25" t="s">
        <v>84</v>
      </c>
      <c r="I185" s="25" t="s">
        <v>85</v>
      </c>
      <c r="J185" s="25" t="s">
        <v>147</v>
      </c>
      <c r="K185" s="26" t="s">
        <v>196</v>
      </c>
      <c r="L185" s="45">
        <v>0</v>
      </c>
      <c r="M185" s="45">
        <f>10536+24.5026+3070+689.63799+3688.8219+42+68.39651+170</f>
        <v>18289.358999999997</v>
      </c>
      <c r="N185" s="45">
        <f>11165.6309+8185.6351</f>
        <v>19351.266</v>
      </c>
      <c r="O185" s="45">
        <v>21663.85</v>
      </c>
      <c r="P185" s="45">
        <f>2214.2+25.76524+671.8+1547.03976+60.36+5.06+150+17724.98</f>
        <v>22399.204999999998</v>
      </c>
      <c r="Q185" s="132">
        <f>18292.8+1720.1</f>
        <v>20012.899999999998</v>
      </c>
      <c r="R185" s="133">
        <v>20602.400000000001</v>
      </c>
      <c r="S185" s="134">
        <v>21237</v>
      </c>
      <c r="T185" s="134">
        <v>22086.5</v>
      </c>
      <c r="U185" s="134">
        <v>22970</v>
      </c>
    </row>
    <row r="186" spans="1:21" ht="22.5" customHeight="1" x14ac:dyDescent="0.25">
      <c r="A186" s="175" t="s">
        <v>68</v>
      </c>
      <c r="B186" s="175" t="s">
        <v>72</v>
      </c>
      <c r="C186" s="175" t="s">
        <v>78</v>
      </c>
      <c r="D186" s="7"/>
      <c r="E186" s="179" t="s">
        <v>93</v>
      </c>
      <c r="F186" s="179" t="s">
        <v>37</v>
      </c>
      <c r="G186" s="25" t="s">
        <v>25</v>
      </c>
      <c r="H186" s="25" t="s">
        <v>84</v>
      </c>
      <c r="I186" s="25" t="s">
        <v>85</v>
      </c>
      <c r="J186" s="25" t="s">
        <v>116</v>
      </c>
      <c r="K186" s="26" t="s">
        <v>13</v>
      </c>
      <c r="L186" s="44">
        <v>23.686</v>
      </c>
      <c r="M186" s="44">
        <v>0</v>
      </c>
      <c r="N186" s="45">
        <v>0</v>
      </c>
      <c r="O186" s="45">
        <v>0</v>
      </c>
      <c r="P186" s="45">
        <v>0</v>
      </c>
      <c r="Q186" s="132">
        <v>0</v>
      </c>
      <c r="R186" s="133">
        <f>M186</f>
        <v>0</v>
      </c>
      <c r="S186" s="134"/>
      <c r="T186" s="134"/>
      <c r="U186" s="134"/>
    </row>
    <row r="187" spans="1:21" ht="18" customHeight="1" x14ac:dyDescent="0.25">
      <c r="A187" s="176"/>
      <c r="B187" s="176"/>
      <c r="C187" s="176"/>
      <c r="D187" s="7"/>
      <c r="E187" s="180"/>
      <c r="F187" s="180"/>
      <c r="G187" s="25" t="s">
        <v>25</v>
      </c>
      <c r="H187" s="25" t="s">
        <v>84</v>
      </c>
      <c r="I187" s="25" t="s">
        <v>85</v>
      </c>
      <c r="J187" s="25" t="s">
        <v>293</v>
      </c>
      <c r="K187" s="26" t="s">
        <v>13</v>
      </c>
      <c r="L187" s="44"/>
      <c r="M187" s="44"/>
      <c r="N187" s="45"/>
      <c r="O187" s="45">
        <v>55.9</v>
      </c>
      <c r="P187" s="45">
        <v>0</v>
      </c>
      <c r="Q187" s="132">
        <v>0</v>
      </c>
      <c r="R187" s="133">
        <v>0</v>
      </c>
      <c r="S187" s="134"/>
      <c r="T187" s="134"/>
      <c r="U187" s="134"/>
    </row>
    <row r="188" spans="1:21" ht="24" customHeight="1" x14ac:dyDescent="0.25">
      <c r="A188" s="175" t="s">
        <v>68</v>
      </c>
      <c r="B188" s="175" t="s">
        <v>72</v>
      </c>
      <c r="C188" s="175" t="s">
        <v>83</v>
      </c>
      <c r="D188" s="7"/>
      <c r="E188" s="182" t="s">
        <v>125</v>
      </c>
      <c r="F188" s="179" t="s">
        <v>37</v>
      </c>
      <c r="G188" s="25" t="s">
        <v>25</v>
      </c>
      <c r="H188" s="25" t="s">
        <v>84</v>
      </c>
      <c r="I188" s="25" t="s">
        <v>82</v>
      </c>
      <c r="J188" s="25" t="s">
        <v>114</v>
      </c>
      <c r="K188" s="26" t="s">
        <v>10</v>
      </c>
      <c r="L188" s="45">
        <f>15.525+292.213</f>
        <v>307.738</v>
      </c>
      <c r="M188" s="45">
        <v>0</v>
      </c>
      <c r="N188" s="45">
        <f>M188</f>
        <v>0</v>
      </c>
      <c r="O188" s="45">
        <f>M188</f>
        <v>0</v>
      </c>
      <c r="P188" s="45">
        <v>0</v>
      </c>
      <c r="Q188" s="132">
        <v>0</v>
      </c>
      <c r="R188" s="133">
        <f>M188</f>
        <v>0</v>
      </c>
      <c r="S188" s="134"/>
      <c r="T188" s="134"/>
      <c r="U188" s="134"/>
    </row>
    <row r="189" spans="1:21" ht="16.5" customHeight="1" x14ac:dyDescent="0.25">
      <c r="A189" s="181"/>
      <c r="B189" s="181"/>
      <c r="C189" s="181"/>
      <c r="D189" s="7"/>
      <c r="E189" s="183"/>
      <c r="F189" s="177"/>
      <c r="G189" s="25" t="s">
        <v>25</v>
      </c>
      <c r="H189" s="25" t="s">
        <v>84</v>
      </c>
      <c r="I189" s="25" t="s">
        <v>82</v>
      </c>
      <c r="J189" s="25" t="s">
        <v>176</v>
      </c>
      <c r="K189" s="26" t="s">
        <v>185</v>
      </c>
      <c r="L189" s="45">
        <v>0</v>
      </c>
      <c r="M189" s="45">
        <f>404.875+13.125</f>
        <v>418</v>
      </c>
      <c r="N189" s="45">
        <f>13.3+499.7</f>
        <v>513</v>
      </c>
      <c r="O189" s="45">
        <v>374.3</v>
      </c>
      <c r="P189" s="45">
        <f>252.7+19</f>
        <v>271.7</v>
      </c>
      <c r="Q189" s="132">
        <v>109.7</v>
      </c>
      <c r="R189" s="133">
        <v>0</v>
      </c>
      <c r="S189" s="134"/>
      <c r="T189" s="134"/>
      <c r="U189" s="134"/>
    </row>
    <row r="190" spans="1:21" ht="25.5" x14ac:dyDescent="0.25">
      <c r="A190" s="176"/>
      <c r="B190" s="176"/>
      <c r="C190" s="176"/>
      <c r="D190" s="7"/>
      <c r="E190" s="183"/>
      <c r="F190" s="177"/>
      <c r="G190" s="25" t="s">
        <v>25</v>
      </c>
      <c r="H190" s="25" t="s">
        <v>84</v>
      </c>
      <c r="I190" s="25" t="s">
        <v>82</v>
      </c>
      <c r="J190" s="25" t="s">
        <v>145</v>
      </c>
      <c r="K190" s="26" t="s">
        <v>304</v>
      </c>
      <c r="L190" s="45">
        <v>0</v>
      </c>
      <c r="M190" s="45">
        <v>304.89699999999999</v>
      </c>
      <c r="N190" s="45">
        <f>455.2+14.3</f>
        <v>469.5</v>
      </c>
      <c r="O190" s="45">
        <v>417.6</v>
      </c>
      <c r="P190" s="45">
        <f>35.146+371.08</f>
        <v>406.226</v>
      </c>
      <c r="Q190" s="132">
        <v>500</v>
      </c>
      <c r="R190" s="133">
        <v>500</v>
      </c>
      <c r="S190" s="134">
        <v>500</v>
      </c>
      <c r="T190" s="134">
        <v>520</v>
      </c>
      <c r="U190" s="134">
        <v>540.79999999999995</v>
      </c>
    </row>
    <row r="191" spans="1:21" s="34" customFormat="1" ht="23.25" customHeight="1" x14ac:dyDescent="0.25">
      <c r="A191" s="175" t="s">
        <v>68</v>
      </c>
      <c r="B191" s="175" t="s">
        <v>72</v>
      </c>
      <c r="C191" s="175" t="s">
        <v>88</v>
      </c>
      <c r="D191" s="54"/>
      <c r="E191" s="184" t="s">
        <v>77</v>
      </c>
      <c r="F191" s="185" t="s">
        <v>37</v>
      </c>
      <c r="G191" s="55" t="s">
        <v>25</v>
      </c>
      <c r="H191" s="25" t="s">
        <v>84</v>
      </c>
      <c r="I191" s="25" t="s">
        <v>85</v>
      </c>
      <c r="J191" s="25" t="s">
        <v>119</v>
      </c>
      <c r="K191" s="26" t="s">
        <v>143</v>
      </c>
      <c r="L191" s="44">
        <f>9.348+32+210</f>
        <v>251.34800000000001</v>
      </c>
      <c r="M191" s="44">
        <v>0</v>
      </c>
      <c r="N191" s="45">
        <f>M191</f>
        <v>0</v>
      </c>
      <c r="O191" s="45">
        <f>M191</f>
        <v>0</v>
      </c>
      <c r="P191" s="45">
        <v>0</v>
      </c>
      <c r="Q191" s="132">
        <v>0</v>
      </c>
      <c r="R191" s="133">
        <f>M191</f>
        <v>0</v>
      </c>
      <c r="S191" s="135"/>
      <c r="T191" s="135"/>
      <c r="U191" s="135"/>
    </row>
    <row r="192" spans="1:21" s="34" customFormat="1" ht="33.75" customHeight="1" x14ac:dyDescent="0.25">
      <c r="A192" s="181"/>
      <c r="B192" s="181"/>
      <c r="C192" s="181"/>
      <c r="D192" s="54"/>
      <c r="E192" s="184"/>
      <c r="F192" s="185"/>
      <c r="G192" s="55" t="s">
        <v>25</v>
      </c>
      <c r="H192" s="25" t="s">
        <v>84</v>
      </c>
      <c r="I192" s="25" t="s">
        <v>85</v>
      </c>
      <c r="J192" s="25" t="s">
        <v>149</v>
      </c>
      <c r="K192" s="26" t="s">
        <v>197</v>
      </c>
      <c r="L192" s="44">
        <v>0</v>
      </c>
      <c r="M192" s="44">
        <f>3.044+54.3+305+23.436</f>
        <v>385.78</v>
      </c>
      <c r="N192" s="44">
        <f>40+305</f>
        <v>345</v>
      </c>
      <c r="O192" s="44">
        <v>375</v>
      </c>
      <c r="P192" s="44">
        <f>630+84.63</f>
        <v>714.63</v>
      </c>
      <c r="Q192" s="136">
        <v>350</v>
      </c>
      <c r="R192" s="137">
        <v>350</v>
      </c>
      <c r="S192" s="135">
        <v>350</v>
      </c>
      <c r="T192" s="135">
        <v>364</v>
      </c>
      <c r="U192" s="135">
        <v>378.6</v>
      </c>
    </row>
    <row r="193" spans="1:21" s="34" customFormat="1" x14ac:dyDescent="0.25">
      <c r="A193" s="176"/>
      <c r="B193" s="176"/>
      <c r="C193" s="176"/>
      <c r="D193" s="54"/>
      <c r="E193" s="184"/>
      <c r="F193" s="56" t="s">
        <v>18</v>
      </c>
      <c r="G193" s="55" t="s">
        <v>16</v>
      </c>
      <c r="H193" s="25" t="s">
        <v>84</v>
      </c>
      <c r="I193" s="25" t="s">
        <v>85</v>
      </c>
      <c r="J193" s="25" t="s">
        <v>149</v>
      </c>
      <c r="K193" s="26" t="s">
        <v>7</v>
      </c>
      <c r="L193" s="44">
        <v>0</v>
      </c>
      <c r="M193" s="44">
        <v>15.2334</v>
      </c>
      <c r="N193" s="44">
        <v>0</v>
      </c>
      <c r="O193" s="44">
        <v>0</v>
      </c>
      <c r="P193" s="44">
        <v>0</v>
      </c>
      <c r="Q193" s="136">
        <v>0</v>
      </c>
      <c r="R193" s="137">
        <v>0</v>
      </c>
      <c r="S193" s="135"/>
      <c r="T193" s="135"/>
      <c r="U193" s="135"/>
    </row>
    <row r="198" spans="1:21" x14ac:dyDescent="0.25">
      <c r="L198" s="36"/>
      <c r="M198" s="36"/>
      <c r="N198" s="36"/>
      <c r="O198" s="36"/>
      <c r="P198" s="36"/>
      <c r="Q198" s="36"/>
      <c r="R198" s="36"/>
    </row>
  </sheetData>
  <sheetProtection selectLockedCells="1" selectUnlockedCells="1"/>
  <mergeCells count="196">
    <mergeCell ref="E45:E47"/>
    <mergeCell ref="A45:A47"/>
    <mergeCell ref="B45:B47"/>
    <mergeCell ref="C45:C47"/>
    <mergeCell ref="F55:F57"/>
    <mergeCell ref="E55:E57"/>
    <mergeCell ref="A55:A57"/>
    <mergeCell ref="B55:B57"/>
    <mergeCell ref="C55:C57"/>
    <mergeCell ref="F45:F46"/>
    <mergeCell ref="F36:F37"/>
    <mergeCell ref="E36:E37"/>
    <mergeCell ref="A36:A37"/>
    <mergeCell ref="B36:B37"/>
    <mergeCell ref="C36:C37"/>
    <mergeCell ref="F24:F33"/>
    <mergeCell ref="D10:R10"/>
    <mergeCell ref="A12:D12"/>
    <mergeCell ref="E12:E14"/>
    <mergeCell ref="F12:F14"/>
    <mergeCell ref="G12:K12"/>
    <mergeCell ref="L12:U12"/>
    <mergeCell ref="L13:O13"/>
    <mergeCell ref="P13:U13"/>
    <mergeCell ref="A17:A20"/>
    <mergeCell ref="B17:B20"/>
    <mergeCell ref="C17:C20"/>
    <mergeCell ref="D17:D20"/>
    <mergeCell ref="E17:E20"/>
    <mergeCell ref="A21:A23"/>
    <mergeCell ref="B21:B23"/>
    <mergeCell ref="C21:C23"/>
    <mergeCell ref="D21:D23"/>
    <mergeCell ref="E21:E23"/>
    <mergeCell ref="A38:A39"/>
    <mergeCell ref="B38:B39"/>
    <mergeCell ref="C38:C39"/>
    <mergeCell ref="E38:E39"/>
    <mergeCell ref="F38:F39"/>
    <mergeCell ref="A40:A44"/>
    <mergeCell ref="B40:B44"/>
    <mergeCell ref="C40:C44"/>
    <mergeCell ref="E40:E44"/>
    <mergeCell ref="F40:F44"/>
    <mergeCell ref="A48:A49"/>
    <mergeCell ref="B48:B49"/>
    <mergeCell ref="C48:C49"/>
    <mergeCell ref="E48:E49"/>
    <mergeCell ref="A50:A51"/>
    <mergeCell ref="B50:B51"/>
    <mergeCell ref="C50:C51"/>
    <mergeCell ref="E50:E51"/>
    <mergeCell ref="F50:F51"/>
    <mergeCell ref="A61:A63"/>
    <mergeCell ref="B61:B63"/>
    <mergeCell ref="C61:C63"/>
    <mergeCell ref="D61:D63"/>
    <mergeCell ref="E61:E63"/>
    <mergeCell ref="F59:F60"/>
    <mergeCell ref="A58:A60"/>
    <mergeCell ref="B58:B60"/>
    <mergeCell ref="C58:C60"/>
    <mergeCell ref="E58:E60"/>
    <mergeCell ref="A64:A87"/>
    <mergeCell ref="B64:B87"/>
    <mergeCell ref="C64:C87"/>
    <mergeCell ref="E64:E87"/>
    <mergeCell ref="F64:F81"/>
    <mergeCell ref="D81:D87"/>
    <mergeCell ref="F82:F87"/>
    <mergeCell ref="A88:A91"/>
    <mergeCell ref="B88:B91"/>
    <mergeCell ref="C88:C91"/>
    <mergeCell ref="E88:E91"/>
    <mergeCell ref="F88:F91"/>
    <mergeCell ref="A92:A95"/>
    <mergeCell ref="B92:B95"/>
    <mergeCell ref="C92:C95"/>
    <mergeCell ref="E92:E95"/>
    <mergeCell ref="F94:F95"/>
    <mergeCell ref="A96:A102"/>
    <mergeCell ref="B96:B102"/>
    <mergeCell ref="C96:C102"/>
    <mergeCell ref="D96:D102"/>
    <mergeCell ref="E96:E102"/>
    <mergeCell ref="F96:F102"/>
    <mergeCell ref="A104:A113"/>
    <mergeCell ref="B104:B113"/>
    <mergeCell ref="C104:C113"/>
    <mergeCell ref="E104:E113"/>
    <mergeCell ref="F104:F107"/>
    <mergeCell ref="F108:F113"/>
    <mergeCell ref="A114:A115"/>
    <mergeCell ref="B114:B115"/>
    <mergeCell ref="C114:C115"/>
    <mergeCell ref="E114:E115"/>
    <mergeCell ref="F114:F115"/>
    <mergeCell ref="A116:A117"/>
    <mergeCell ref="B116:B117"/>
    <mergeCell ref="C116:C117"/>
    <mergeCell ref="E116:E117"/>
    <mergeCell ref="F116:F117"/>
    <mergeCell ref="A120:A123"/>
    <mergeCell ref="B120:B123"/>
    <mergeCell ref="C120:C123"/>
    <mergeCell ref="D120:D123"/>
    <mergeCell ref="E120:E123"/>
    <mergeCell ref="A124:A136"/>
    <mergeCell ref="B124:B136"/>
    <mergeCell ref="C124:C136"/>
    <mergeCell ref="D124:D131"/>
    <mergeCell ref="E124:E136"/>
    <mergeCell ref="F124:F131"/>
    <mergeCell ref="F132:F136"/>
    <mergeCell ref="A137:A139"/>
    <mergeCell ref="B137:B139"/>
    <mergeCell ref="C137:C139"/>
    <mergeCell ref="E137:E139"/>
    <mergeCell ref="F137:F138"/>
    <mergeCell ref="F147:F148"/>
    <mergeCell ref="F149:F151"/>
    <mergeCell ref="A140:A145"/>
    <mergeCell ref="B140:B145"/>
    <mergeCell ref="C140:C145"/>
    <mergeCell ref="E140:E145"/>
    <mergeCell ref="F140:F142"/>
    <mergeCell ref="F143:F145"/>
    <mergeCell ref="A154:A157"/>
    <mergeCell ref="B154:B157"/>
    <mergeCell ref="C154:C157"/>
    <mergeCell ref="D154:D157"/>
    <mergeCell ref="E154:E157"/>
    <mergeCell ref="A146:A151"/>
    <mergeCell ref="B146:B151"/>
    <mergeCell ref="C146:C151"/>
    <mergeCell ref="E146:E151"/>
    <mergeCell ref="A178:A180"/>
    <mergeCell ref="B178:B180"/>
    <mergeCell ref="C178:C180"/>
    <mergeCell ref="D178:D180"/>
    <mergeCell ref="E178:E180"/>
    <mergeCell ref="A181:A182"/>
    <mergeCell ref="B181:B182"/>
    <mergeCell ref="C181:C182"/>
    <mergeCell ref="E181:E182"/>
    <mergeCell ref="F181:F182"/>
    <mergeCell ref="A183:A185"/>
    <mergeCell ref="B183:B185"/>
    <mergeCell ref="C183:C185"/>
    <mergeCell ref="E183:E185"/>
    <mergeCell ref="F183:F185"/>
    <mergeCell ref="A188:A190"/>
    <mergeCell ref="B188:B190"/>
    <mergeCell ref="C188:C190"/>
    <mergeCell ref="E188:E190"/>
    <mergeCell ref="F188:F190"/>
    <mergeCell ref="A191:A193"/>
    <mergeCell ref="B191:B193"/>
    <mergeCell ref="C191:C193"/>
    <mergeCell ref="E191:E193"/>
    <mergeCell ref="F191:F192"/>
    <mergeCell ref="F186:F187"/>
    <mergeCell ref="E186:E187"/>
    <mergeCell ref="A186:A187"/>
    <mergeCell ref="B186:B187"/>
    <mergeCell ref="C186:C187"/>
    <mergeCell ref="F34:F35"/>
    <mergeCell ref="E24:E35"/>
    <mergeCell ref="A24:A35"/>
    <mergeCell ref="B24:B35"/>
    <mergeCell ref="C24:C35"/>
    <mergeCell ref="F172:F173"/>
    <mergeCell ref="E167:E173"/>
    <mergeCell ref="A167:A173"/>
    <mergeCell ref="B167:B173"/>
    <mergeCell ref="C167:C173"/>
    <mergeCell ref="F158:F165"/>
    <mergeCell ref="F167:F171"/>
    <mergeCell ref="F53:F54"/>
    <mergeCell ref="F92:F93"/>
    <mergeCell ref="E158:E166"/>
    <mergeCell ref="A158:A166"/>
    <mergeCell ref="B158:B166"/>
    <mergeCell ref="C158:C166"/>
    <mergeCell ref="E52:E54"/>
    <mergeCell ref="A52:A54"/>
    <mergeCell ref="B52:B54"/>
    <mergeCell ref="C52:C54"/>
    <mergeCell ref="E174:E175"/>
    <mergeCell ref="A174:A175"/>
    <mergeCell ref="B174:B175"/>
    <mergeCell ref="C174:C175"/>
    <mergeCell ref="A176:A177"/>
    <mergeCell ref="B176:B177"/>
    <mergeCell ref="C176:C177"/>
    <mergeCell ref="E176:E177"/>
  </mergeCells>
  <printOptions horizontalCentered="1"/>
  <pageMargins left="2.5937499999999999E-2" right="5.1874999999999998E-2" top="0.78740157480314965" bottom="0.39370078740157483" header="0.51181102362204722" footer="0.51181102362204722"/>
  <pageSetup paperSize="9" scale="77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77"/>
  <sheetViews>
    <sheetView zoomScaleNormal="100" workbookViewId="0">
      <selection activeCell="E14" sqref="E14:E15"/>
    </sheetView>
  </sheetViews>
  <sheetFormatPr defaultRowHeight="15" x14ac:dyDescent="0.25"/>
  <cols>
    <col min="1" max="1" width="4.7109375" style="30" customWidth="1"/>
    <col min="2" max="2" width="4.5703125" style="30" customWidth="1"/>
    <col min="3" max="3" width="19.5703125" style="30" customWidth="1"/>
    <col min="4" max="4" width="43.140625" style="30" customWidth="1"/>
    <col min="5" max="5" width="11.5703125" style="30" customWidth="1"/>
    <col min="6" max="12" width="9.7109375" style="30" customWidth="1"/>
    <col min="13" max="16384" width="9.140625" style="30"/>
  </cols>
  <sheetData>
    <row r="1" spans="1:17" ht="15.75" x14ac:dyDescent="0.25">
      <c r="I1" s="148" t="s">
        <v>316</v>
      </c>
    </row>
    <row r="2" spans="1:17" ht="15.75" x14ac:dyDescent="0.25">
      <c r="I2" s="148" t="s">
        <v>313</v>
      </c>
    </row>
    <row r="3" spans="1:17" ht="15.75" x14ac:dyDescent="0.25">
      <c r="I3" s="148" t="s">
        <v>314</v>
      </c>
    </row>
    <row r="4" spans="1:17" x14ac:dyDescent="0.25">
      <c r="A4" s="31"/>
      <c r="B4" s="31"/>
      <c r="C4" s="31"/>
      <c r="D4" s="31"/>
      <c r="E4" s="31"/>
      <c r="F4" s="31"/>
      <c r="J4" s="31"/>
      <c r="K4" s="5" t="s">
        <v>0</v>
      </c>
    </row>
    <row r="5" spans="1:17" x14ac:dyDescent="0.25">
      <c r="A5" s="31"/>
      <c r="B5" s="31"/>
      <c r="C5" s="31"/>
      <c r="D5" s="31"/>
      <c r="E5" s="31"/>
      <c r="F5" s="31"/>
      <c r="J5" s="31"/>
      <c r="K5" s="5" t="s">
        <v>58</v>
      </c>
    </row>
    <row r="6" spans="1:17" x14ac:dyDescent="0.25">
      <c r="A6" s="31"/>
      <c r="B6" s="31"/>
      <c r="C6" s="31"/>
      <c r="D6" s="31"/>
      <c r="E6" s="31"/>
      <c r="F6" s="31"/>
      <c r="J6" s="31"/>
      <c r="K6" s="5" t="s">
        <v>274</v>
      </c>
    </row>
    <row r="7" spans="1:17" x14ac:dyDescent="0.25">
      <c r="A7" s="31"/>
      <c r="B7" s="31"/>
      <c r="C7" s="31"/>
      <c r="D7" s="31"/>
      <c r="E7" s="31"/>
      <c r="F7" s="31"/>
      <c r="G7" s="32"/>
      <c r="J7" s="31"/>
    </row>
    <row r="8" spans="1:17" x14ac:dyDescent="0.25">
      <c r="A8" s="31"/>
      <c r="B8" s="31"/>
      <c r="C8" s="31"/>
      <c r="D8" s="31"/>
      <c r="E8" s="31"/>
      <c r="F8" s="31"/>
      <c r="G8" s="33"/>
      <c r="I8" s="31"/>
      <c r="J8" s="31"/>
      <c r="K8" s="31"/>
      <c r="L8" s="31"/>
    </row>
    <row r="9" spans="1:17" x14ac:dyDescent="0.25">
      <c r="A9" s="127" t="s">
        <v>40</v>
      </c>
      <c r="B9" s="127"/>
      <c r="C9" s="127"/>
      <c r="D9" s="127"/>
      <c r="E9" s="127"/>
      <c r="F9" s="127"/>
      <c r="G9" s="127"/>
      <c r="H9" s="127"/>
      <c r="I9" s="127"/>
      <c r="J9" s="127"/>
      <c r="M9" s="214"/>
      <c r="N9" s="214"/>
      <c r="O9" s="214"/>
    </row>
    <row r="10" spans="1:17" x14ac:dyDescent="0.2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7" x14ac:dyDescent="0.25">
      <c r="A11" s="220" t="s">
        <v>59</v>
      </c>
      <c r="B11" s="220"/>
      <c r="C11" s="216" t="s">
        <v>41</v>
      </c>
      <c r="D11" s="221" t="s">
        <v>42</v>
      </c>
      <c r="E11" s="217" t="s">
        <v>43</v>
      </c>
      <c r="F11" s="218"/>
      <c r="G11" s="218"/>
      <c r="H11" s="218"/>
      <c r="I11" s="218"/>
      <c r="J11" s="218"/>
      <c r="K11" s="218"/>
      <c r="L11" s="218"/>
      <c r="M11" s="218"/>
      <c r="N11" s="218"/>
      <c r="O11" s="219"/>
    </row>
    <row r="12" spans="1:17" x14ac:dyDescent="0.25">
      <c r="A12" s="220"/>
      <c r="B12" s="220"/>
      <c r="C12" s="216"/>
      <c r="D12" s="221"/>
      <c r="E12" s="106"/>
      <c r="F12" s="102" t="s">
        <v>281</v>
      </c>
      <c r="G12" s="102"/>
      <c r="H12" s="102"/>
      <c r="I12" s="103"/>
      <c r="J12" s="102"/>
      <c r="K12" s="102"/>
      <c r="L12" s="102"/>
      <c r="M12" s="102"/>
      <c r="N12" s="102"/>
      <c r="O12" s="103"/>
    </row>
    <row r="13" spans="1:17" x14ac:dyDescent="0.25">
      <c r="A13" s="220"/>
      <c r="B13" s="220"/>
      <c r="C13" s="216"/>
      <c r="D13" s="221"/>
      <c r="E13" s="107"/>
      <c r="F13" s="104"/>
      <c r="G13" s="104"/>
      <c r="H13" s="104"/>
      <c r="I13" s="105"/>
      <c r="J13" s="104"/>
      <c r="K13" s="104"/>
      <c r="L13" s="104" t="s">
        <v>282</v>
      </c>
      <c r="M13" s="104"/>
      <c r="N13" s="104"/>
      <c r="O13" s="105"/>
    </row>
    <row r="14" spans="1:17" x14ac:dyDescent="0.25">
      <c r="A14" s="220"/>
      <c r="B14" s="220"/>
      <c r="C14" s="216" t="s">
        <v>22</v>
      </c>
      <c r="D14" s="216"/>
      <c r="E14" s="215" t="s">
        <v>44</v>
      </c>
      <c r="F14" s="215" t="s">
        <v>60</v>
      </c>
      <c r="G14" s="215" t="s">
        <v>61</v>
      </c>
      <c r="H14" s="215" t="s">
        <v>62</v>
      </c>
      <c r="I14" s="215" t="s">
        <v>63</v>
      </c>
      <c r="J14" s="215" t="s">
        <v>64</v>
      </c>
      <c r="K14" s="215" t="s">
        <v>65</v>
      </c>
      <c r="L14" s="215" t="s">
        <v>260</v>
      </c>
      <c r="M14" s="215" t="s">
        <v>275</v>
      </c>
      <c r="N14" s="215" t="s">
        <v>276</v>
      </c>
      <c r="O14" s="215" t="s">
        <v>277</v>
      </c>
    </row>
    <row r="15" spans="1:17" x14ac:dyDescent="0.25">
      <c r="A15" s="11" t="s">
        <v>66</v>
      </c>
      <c r="B15" s="11" t="s">
        <v>67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7" x14ac:dyDescent="0.25">
      <c r="A16" s="211" t="s">
        <v>68</v>
      </c>
      <c r="B16" s="211"/>
      <c r="C16" s="212" t="s">
        <v>273</v>
      </c>
      <c r="D16" s="13" t="s">
        <v>36</v>
      </c>
      <c r="E16" s="14">
        <f>SUM(F16:O16)</f>
        <v>8055040.0240499992</v>
      </c>
      <c r="F16" s="15">
        <f t="shared" ref="F16:L16" si="0">F17+F23+F24</f>
        <v>643293.8358</v>
      </c>
      <c r="G16" s="15">
        <f t="shared" si="0"/>
        <v>659265.71231000009</v>
      </c>
      <c r="H16" s="15">
        <f t="shared" si="0"/>
        <v>683433.62747000006</v>
      </c>
      <c r="I16" s="15">
        <f t="shared" si="0"/>
        <v>952828.73763999995</v>
      </c>
      <c r="J16" s="15">
        <f t="shared" si="0"/>
        <v>953256.48022000003</v>
      </c>
      <c r="K16" s="15">
        <f>K17+K23+K24</f>
        <v>843198.85060999996</v>
      </c>
      <c r="L16" s="15">
        <f t="shared" si="0"/>
        <v>809901</v>
      </c>
      <c r="M16" s="15">
        <f>M17+M23+M24</f>
        <v>804030.8</v>
      </c>
      <c r="N16" s="15">
        <f>N17+N23+N24</f>
        <v>836191.67999999993</v>
      </c>
      <c r="O16" s="15">
        <f>O17+O23+O24</f>
        <v>869639.3</v>
      </c>
      <c r="P16" s="53"/>
      <c r="Q16" s="53"/>
    </row>
    <row r="17" spans="1:15" x14ac:dyDescent="0.25">
      <c r="A17" s="211"/>
      <c r="B17" s="211"/>
      <c r="C17" s="212"/>
      <c r="D17" s="12" t="s">
        <v>45</v>
      </c>
      <c r="E17" s="14">
        <f t="shared" ref="E17:E69" si="1">SUM(F17:O17)</f>
        <v>8055040.0240499992</v>
      </c>
      <c r="F17" s="16">
        <f t="shared" ref="F17:L17" si="2">F19+F20+F21+F22</f>
        <v>643293.8358</v>
      </c>
      <c r="G17" s="16">
        <f t="shared" si="2"/>
        <v>659265.71231000009</v>
      </c>
      <c r="H17" s="16">
        <f>H19+H20+H21+H22</f>
        <v>683433.62747000006</v>
      </c>
      <c r="I17" s="16">
        <f t="shared" si="2"/>
        <v>952828.73763999995</v>
      </c>
      <c r="J17" s="16">
        <f t="shared" si="2"/>
        <v>953256.48022000003</v>
      </c>
      <c r="K17" s="16">
        <f>K19+K20+K21+K22</f>
        <v>843198.85060999996</v>
      </c>
      <c r="L17" s="108">
        <f t="shared" si="2"/>
        <v>809901</v>
      </c>
      <c r="M17" s="108">
        <f>M19+M20+M21+M22</f>
        <v>804030.8</v>
      </c>
      <c r="N17" s="108">
        <f>N19+N20+N21+N22</f>
        <v>836191.67999999993</v>
      </c>
      <c r="O17" s="108">
        <f>O19+O20+O21+O22</f>
        <v>869639.3</v>
      </c>
    </row>
    <row r="18" spans="1:15" x14ac:dyDescent="0.25">
      <c r="A18" s="211"/>
      <c r="B18" s="211"/>
      <c r="C18" s="212"/>
      <c r="D18" s="17" t="s">
        <v>46</v>
      </c>
      <c r="E18" s="14">
        <f t="shared" si="1"/>
        <v>0</v>
      </c>
      <c r="F18" s="16"/>
      <c r="G18" s="16"/>
      <c r="H18" s="16"/>
      <c r="I18" s="16"/>
      <c r="J18" s="16"/>
      <c r="K18" s="16"/>
      <c r="L18" s="108"/>
      <c r="M18" s="84"/>
      <c r="N18" s="84"/>
      <c r="O18" s="84"/>
    </row>
    <row r="19" spans="1:15" x14ac:dyDescent="0.25">
      <c r="A19" s="211"/>
      <c r="B19" s="211"/>
      <c r="C19" s="212"/>
      <c r="D19" s="17" t="s">
        <v>47</v>
      </c>
      <c r="E19" s="14">
        <f t="shared" si="1"/>
        <v>2316623.5772100003</v>
      </c>
      <c r="F19" s="16">
        <f t="shared" ref="F19:O24" si="3">F28+F37+F46+F55+F64</f>
        <v>201376.08809000003</v>
      </c>
      <c r="G19" s="16">
        <f>G28+G37+G46+G55+G64</f>
        <v>208616.85531000001</v>
      </c>
      <c r="H19" s="16">
        <f t="shared" si="3"/>
        <v>209253.51547000001</v>
      </c>
      <c r="I19" s="16">
        <f t="shared" si="3"/>
        <v>243199.26863999999</v>
      </c>
      <c r="J19" s="16">
        <f t="shared" si="3"/>
        <v>265164.74998000002</v>
      </c>
      <c r="K19" s="16">
        <f t="shared" si="3"/>
        <v>226470.79971999998</v>
      </c>
      <c r="L19" s="16">
        <f t="shared" si="3"/>
        <v>230911.39999999997</v>
      </c>
      <c r="M19" s="16">
        <f t="shared" si="3"/>
        <v>234379</v>
      </c>
      <c r="N19" s="16">
        <f t="shared" si="3"/>
        <v>243751.90000000002</v>
      </c>
      <c r="O19" s="16">
        <f t="shared" si="3"/>
        <v>253500</v>
      </c>
    </row>
    <row r="20" spans="1:15" x14ac:dyDescent="0.25">
      <c r="A20" s="211"/>
      <c r="B20" s="211"/>
      <c r="C20" s="212"/>
      <c r="D20" s="17" t="s">
        <v>48</v>
      </c>
      <c r="E20" s="14">
        <f t="shared" si="1"/>
        <v>390075.98683999997</v>
      </c>
      <c r="F20" s="16">
        <f>F29+F38+F47+F56+F65</f>
        <v>22996.44771</v>
      </c>
      <c r="G20" s="16">
        <f t="shared" si="3"/>
        <v>17592.757000000001</v>
      </c>
      <c r="H20" s="16">
        <f t="shared" si="3"/>
        <v>12564.332000000002</v>
      </c>
      <c r="I20" s="16">
        <f t="shared" si="3"/>
        <v>168040.66899999997</v>
      </c>
      <c r="J20" s="16">
        <f t="shared" ref="J20:O20" si="4">J29+J38+J47+J56+J65</f>
        <v>114579.53023999999</v>
      </c>
      <c r="K20" s="16">
        <f t="shared" si="4"/>
        <v>47262.550889999999</v>
      </c>
      <c r="L20" s="16">
        <f t="shared" si="4"/>
        <v>1698.1</v>
      </c>
      <c r="M20" s="16">
        <f t="shared" si="4"/>
        <v>1709.3000000000002</v>
      </c>
      <c r="N20" s="16">
        <f t="shared" si="4"/>
        <v>1779.6</v>
      </c>
      <c r="O20" s="16">
        <f t="shared" si="4"/>
        <v>1852.7</v>
      </c>
    </row>
    <row r="21" spans="1:15" x14ac:dyDescent="0.25">
      <c r="A21" s="211"/>
      <c r="B21" s="211"/>
      <c r="C21" s="212"/>
      <c r="D21" s="17" t="s">
        <v>49</v>
      </c>
      <c r="E21" s="14">
        <f t="shared" si="1"/>
        <v>5339486.4600000009</v>
      </c>
      <c r="F21" s="16">
        <f>F30+F39+F48+F57+F66</f>
        <v>418921.3</v>
      </c>
      <c r="G21" s="16">
        <f t="shared" si="3"/>
        <v>433056.10000000003</v>
      </c>
      <c r="H21" s="16">
        <f t="shared" si="3"/>
        <v>452761.78</v>
      </c>
      <c r="I21" s="16">
        <f t="shared" si="3"/>
        <v>541588.80000000005</v>
      </c>
      <c r="J21" s="16">
        <f t="shared" ref="J21:O21" si="5">J30+J39+J48+J57+J66</f>
        <v>573512.19999999995</v>
      </c>
      <c r="K21" s="16">
        <f t="shared" si="5"/>
        <v>569465.5</v>
      </c>
      <c r="L21" s="16">
        <f t="shared" si="5"/>
        <v>577291.5</v>
      </c>
      <c r="M21" s="16">
        <f t="shared" si="5"/>
        <v>567942.5</v>
      </c>
      <c r="N21" s="16">
        <f t="shared" si="5"/>
        <v>590660.17999999993</v>
      </c>
      <c r="O21" s="16">
        <f t="shared" si="5"/>
        <v>614286.60000000009</v>
      </c>
    </row>
    <row r="22" spans="1:15" ht="22.5" x14ac:dyDescent="0.25">
      <c r="A22" s="211"/>
      <c r="B22" s="211"/>
      <c r="C22" s="212"/>
      <c r="D22" s="17" t="s">
        <v>50</v>
      </c>
      <c r="E22" s="14">
        <f t="shared" si="1"/>
        <v>8854</v>
      </c>
      <c r="F22" s="16">
        <f t="shared" si="3"/>
        <v>0</v>
      </c>
      <c r="G22" s="16">
        <f t="shared" si="3"/>
        <v>0</v>
      </c>
      <c r="H22" s="16">
        <f t="shared" si="3"/>
        <v>8854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08">
        <f t="shared" si="3"/>
        <v>0</v>
      </c>
      <c r="M22" s="84"/>
      <c r="N22" s="84"/>
      <c r="O22" s="84"/>
    </row>
    <row r="23" spans="1:15" ht="22.5" x14ac:dyDescent="0.25">
      <c r="A23" s="211"/>
      <c r="B23" s="211"/>
      <c r="C23" s="212"/>
      <c r="D23" s="18" t="s">
        <v>51</v>
      </c>
      <c r="E23" s="14">
        <f t="shared" si="1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08">
        <f t="shared" si="3"/>
        <v>0</v>
      </c>
      <c r="M23" s="84"/>
      <c r="N23" s="84"/>
      <c r="O23" s="84"/>
    </row>
    <row r="24" spans="1:15" x14ac:dyDescent="0.25">
      <c r="A24" s="211"/>
      <c r="B24" s="211"/>
      <c r="C24" s="212"/>
      <c r="D24" s="18" t="s">
        <v>52</v>
      </c>
      <c r="E24" s="14">
        <f t="shared" si="1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08">
        <f t="shared" si="3"/>
        <v>0</v>
      </c>
      <c r="M24" s="84"/>
      <c r="N24" s="84"/>
      <c r="O24" s="84"/>
    </row>
    <row r="25" spans="1:15" x14ac:dyDescent="0.25">
      <c r="A25" s="211" t="s">
        <v>68</v>
      </c>
      <c r="B25" s="211" t="s">
        <v>69</v>
      </c>
      <c r="C25" s="212" t="s">
        <v>266</v>
      </c>
      <c r="D25" s="13" t="s">
        <v>36</v>
      </c>
      <c r="E25" s="14">
        <f t="shared" si="1"/>
        <v>2649913.2478700001</v>
      </c>
      <c r="F25" s="15">
        <f t="shared" ref="F25:K25" si="6">SUM(F26+F32+F33)</f>
        <v>196057.91363000002</v>
      </c>
      <c r="G25" s="15">
        <f t="shared" si="6"/>
        <v>198851.35261</v>
      </c>
      <c r="H25" s="15">
        <f t="shared" si="6"/>
        <v>203930.75099999999</v>
      </c>
      <c r="I25" s="15">
        <f t="shared" si="6"/>
        <v>402820.05799999996</v>
      </c>
      <c r="J25" s="15">
        <f t="shared" si="6"/>
        <v>346234.77536000003</v>
      </c>
      <c r="K25" s="15">
        <f t="shared" si="6"/>
        <v>264929.11726999999</v>
      </c>
      <c r="L25" s="15">
        <f>SUM(L26+L32+L33)</f>
        <v>252045.7</v>
      </c>
      <c r="M25" s="15">
        <f>SUM(M26+M32+M33)</f>
        <v>251487.7</v>
      </c>
      <c r="N25" s="15">
        <f>SUM(N26+N32+N33)</f>
        <v>261547.08</v>
      </c>
      <c r="O25" s="15">
        <f>SUM(O26+O32+O33)</f>
        <v>272008.8</v>
      </c>
    </row>
    <row r="26" spans="1:15" x14ac:dyDescent="0.25">
      <c r="A26" s="211"/>
      <c r="B26" s="211"/>
      <c r="C26" s="212"/>
      <c r="D26" s="12" t="s">
        <v>53</v>
      </c>
      <c r="E26" s="14">
        <f t="shared" si="1"/>
        <v>2649913.2478700001</v>
      </c>
      <c r="F26" s="16">
        <f t="shared" ref="F26:O26" si="7">SUM(F28:F31)</f>
        <v>196057.91363000002</v>
      </c>
      <c r="G26" s="16">
        <f t="shared" si="7"/>
        <v>198851.35261</v>
      </c>
      <c r="H26" s="16">
        <f t="shared" si="7"/>
        <v>203930.75099999999</v>
      </c>
      <c r="I26" s="16">
        <f t="shared" si="7"/>
        <v>402820.05799999996</v>
      </c>
      <c r="J26" s="16">
        <f t="shared" si="7"/>
        <v>346234.77536000003</v>
      </c>
      <c r="K26" s="16">
        <f t="shared" si="7"/>
        <v>264929.11726999999</v>
      </c>
      <c r="L26" s="16">
        <f t="shared" si="7"/>
        <v>252045.7</v>
      </c>
      <c r="M26" s="16">
        <f t="shared" si="7"/>
        <v>251487.7</v>
      </c>
      <c r="N26" s="16">
        <f t="shared" si="7"/>
        <v>261547.08</v>
      </c>
      <c r="O26" s="16">
        <f t="shared" si="7"/>
        <v>272008.8</v>
      </c>
    </row>
    <row r="27" spans="1:15" x14ac:dyDescent="0.25">
      <c r="A27" s="211"/>
      <c r="B27" s="211"/>
      <c r="C27" s="212"/>
      <c r="D27" s="17" t="s">
        <v>46</v>
      </c>
      <c r="E27" s="14">
        <f t="shared" si="1"/>
        <v>0</v>
      </c>
      <c r="F27" s="16"/>
      <c r="G27" s="16"/>
      <c r="H27" s="16"/>
      <c r="I27" s="16"/>
      <c r="J27" s="16"/>
      <c r="K27" s="16"/>
      <c r="L27" s="108"/>
      <c r="M27" s="84"/>
      <c r="N27" s="84"/>
      <c r="O27" s="84"/>
    </row>
    <row r="28" spans="1:15" x14ac:dyDescent="0.25">
      <c r="A28" s="211"/>
      <c r="B28" s="211"/>
      <c r="C28" s="212"/>
      <c r="D28" s="17" t="s">
        <v>47</v>
      </c>
      <c r="E28" s="14">
        <f t="shared" si="1"/>
        <v>551134.62635999999</v>
      </c>
      <c r="F28" s="16">
        <f>'5'!L26+'5'!L27+'5'!L32+'5'!L33+'5'!L45+'5'!L46+'5'!L50+'5'!L51</f>
        <v>49034.912630000006</v>
      </c>
      <c r="G28" s="16">
        <f>'5'!M27+'5'!M29+'5'!M31+'5'!M46+'5'!M48+'5'!M51</f>
        <v>51100.452610000008</v>
      </c>
      <c r="H28" s="16">
        <f>'5'!N27+'5'!N28+'5'!N43+'5'!N48+'5'!N49+'5'!N51</f>
        <v>50029.950999999994</v>
      </c>
      <c r="I28" s="16">
        <f>'5'!O27+'5'!O28+'5'!O29+'5'!O34+'5'!O37+'5'!O43+'5'!O47+'5'!O51+'5'!O55+'5'!O59</f>
        <v>60581.457999999999</v>
      </c>
      <c r="J28" s="16">
        <f>'5'!P27+'5'!P28+'5'!P29+'5'!P35+'5'!P43+'5'!P46+'5'!P51+50+'5'!P53+'5'!P56+'5'!P59</f>
        <v>71872.052120000022</v>
      </c>
      <c r="K28" s="16">
        <f>'5'!Q27+'5'!Q43+'5'!Q51</f>
        <v>52389.1</v>
      </c>
      <c r="L28" s="16">
        <f>'5'!R27+'5'!R28+'5'!R29+'5'!R35+'5'!R43+'5'!R46+'5'!R51+50+'5'!R53+'5'!R56+'5'!R59</f>
        <v>52439.1</v>
      </c>
      <c r="M28" s="16">
        <f>'5'!S27+'5'!S28+'5'!S29+'5'!S35+'5'!S43+'5'!S46+'5'!S51+50+'5'!S53+'5'!S56+'5'!S59</f>
        <v>52439.1</v>
      </c>
      <c r="N28" s="16">
        <f>'5'!T27+'5'!T28+'5'!T29+'5'!T35+'5'!T43+'5'!T46+'5'!T51+50+'5'!T53+'5'!T56+'5'!T59</f>
        <v>54534.600000000006</v>
      </c>
      <c r="O28" s="16">
        <f>'5'!U27+'5'!U28+'5'!U29+'5'!U35+'5'!U43+'5'!U46+'5'!U51+50+'5'!U53+'5'!U56+'5'!U59</f>
        <v>56713.9</v>
      </c>
    </row>
    <row r="29" spans="1:15" x14ac:dyDescent="0.25">
      <c r="A29" s="211"/>
      <c r="B29" s="211"/>
      <c r="C29" s="212"/>
      <c r="D29" s="17" t="s">
        <v>48</v>
      </c>
      <c r="E29" s="14">
        <f t="shared" si="1"/>
        <v>248032.54151000004</v>
      </c>
      <c r="F29" s="16">
        <f>'5'!L36+'5'!L44</f>
        <v>2879.5010000000002</v>
      </c>
      <c r="G29" s="16">
        <f>'5'!M42</f>
        <v>230.9</v>
      </c>
      <c r="H29" s="16">
        <f>'5'!N41+'5'!N42</f>
        <v>369.2</v>
      </c>
      <c r="I29" s="16">
        <f>'5'!O30+'5'!O41+'5'!O57+'5'!O58+'5'!O60</f>
        <v>154042.69999999998</v>
      </c>
      <c r="J29" s="16">
        <f>'5'!P42+'5'!P52-50+'5'!P54+'5'!P58+'5'!P60</f>
        <v>75636.223240000007</v>
      </c>
      <c r="K29" s="16">
        <f>'5'!Q42+'5'!Q54+'5'!Q58+'5'!Q60</f>
        <v>13524.01727</v>
      </c>
      <c r="L29" s="16">
        <f>'5'!R42+'5'!R52-50+'5'!R54+'5'!R58+'5'!R60</f>
        <v>326.10000000000002</v>
      </c>
      <c r="M29" s="16">
        <f>'5'!S42+'5'!S52-50+'5'!S54+'5'!S58+'5'!S60</f>
        <v>326.10000000000002</v>
      </c>
      <c r="N29" s="16">
        <f>'5'!T42+'5'!T52-50+'5'!T54+'5'!T58+'5'!T60</f>
        <v>341.1</v>
      </c>
      <c r="O29" s="16">
        <f>'5'!U42+'5'!U52-50+'5'!U54+'5'!U58+'5'!U60</f>
        <v>356.7</v>
      </c>
    </row>
    <row r="30" spans="1:15" x14ac:dyDescent="0.25">
      <c r="A30" s="211"/>
      <c r="B30" s="211"/>
      <c r="C30" s="212"/>
      <c r="D30" s="17" t="s">
        <v>49</v>
      </c>
      <c r="E30" s="14">
        <f t="shared" si="1"/>
        <v>1850746.0799999998</v>
      </c>
      <c r="F30" s="16">
        <f>'5'!L24+'5'!L25+'5'!L38+'5'!L39+'5'!L40+'5'!L41</f>
        <v>144143.5</v>
      </c>
      <c r="G30" s="16">
        <f>'5'!M25+'5'!M39+'5'!M41</f>
        <v>147520</v>
      </c>
      <c r="H30" s="16">
        <f>'5'!N39+'5'!N25</f>
        <v>153531.6</v>
      </c>
      <c r="I30" s="16">
        <f>'5'!O25+'5'!O39+'5'!O42</f>
        <v>188195.9</v>
      </c>
      <c r="J30" s="16">
        <f>'5'!P25+'5'!P39+'5'!P41</f>
        <v>198726.5</v>
      </c>
      <c r="K30" s="16">
        <f>'5'!Q25+'5'!Q39+'5'!Q41</f>
        <v>199016</v>
      </c>
      <c r="L30" s="16">
        <f>'5'!R25+'5'!R39+'5'!R41</f>
        <v>199280.5</v>
      </c>
      <c r="M30" s="16">
        <f>'5'!S25+'5'!S39+'5'!S41</f>
        <v>198722.5</v>
      </c>
      <c r="N30" s="16">
        <f>'5'!T25+'5'!T39+'5'!T41</f>
        <v>206671.37999999998</v>
      </c>
      <c r="O30" s="16">
        <f>'5'!U25+'5'!U39+'5'!U41</f>
        <v>214938.2</v>
      </c>
    </row>
    <row r="31" spans="1:15" ht="22.5" x14ac:dyDescent="0.25">
      <c r="A31" s="211"/>
      <c r="B31" s="211"/>
      <c r="C31" s="212"/>
      <c r="D31" s="17" t="s">
        <v>50</v>
      </c>
      <c r="E31" s="14">
        <f t="shared" si="1"/>
        <v>0</v>
      </c>
      <c r="F31" s="16"/>
      <c r="G31" s="16"/>
      <c r="H31" s="16"/>
      <c r="I31" s="16"/>
      <c r="J31" s="16"/>
      <c r="K31" s="16"/>
      <c r="L31" s="108"/>
      <c r="M31" s="84"/>
      <c r="N31" s="84"/>
      <c r="O31" s="84"/>
    </row>
    <row r="32" spans="1:15" ht="22.5" x14ac:dyDescent="0.25">
      <c r="A32" s="211"/>
      <c r="B32" s="211"/>
      <c r="C32" s="212"/>
      <c r="D32" s="18" t="s">
        <v>51</v>
      </c>
      <c r="E32" s="14">
        <f t="shared" si="1"/>
        <v>0</v>
      </c>
      <c r="F32" s="16"/>
      <c r="G32" s="16"/>
      <c r="H32" s="16"/>
      <c r="I32" s="16"/>
      <c r="J32" s="16"/>
      <c r="K32" s="16"/>
      <c r="L32" s="108"/>
      <c r="M32" s="84"/>
      <c r="N32" s="84"/>
      <c r="O32" s="84"/>
    </row>
    <row r="33" spans="1:15" x14ac:dyDescent="0.25">
      <c r="A33" s="211"/>
      <c r="B33" s="211"/>
      <c r="C33" s="212"/>
      <c r="D33" s="18" t="s">
        <v>52</v>
      </c>
      <c r="E33" s="14">
        <f t="shared" si="1"/>
        <v>0</v>
      </c>
      <c r="F33" s="16"/>
      <c r="G33" s="16"/>
      <c r="H33" s="16"/>
      <c r="I33" s="16"/>
      <c r="J33" s="16"/>
      <c r="K33" s="16"/>
      <c r="L33" s="108"/>
      <c r="M33" s="84"/>
      <c r="N33" s="84"/>
      <c r="O33" s="84"/>
    </row>
    <row r="34" spans="1:15" x14ac:dyDescent="0.25">
      <c r="A34" s="211" t="s">
        <v>68</v>
      </c>
      <c r="B34" s="211" t="s">
        <v>70</v>
      </c>
      <c r="C34" s="212" t="s">
        <v>267</v>
      </c>
      <c r="D34" s="13" t="s">
        <v>36</v>
      </c>
      <c r="E34" s="14">
        <f t="shared" si="1"/>
        <v>4344739.6140700001</v>
      </c>
      <c r="F34" s="15">
        <f>F35+F41+F42</f>
        <v>360907.74085</v>
      </c>
      <c r="G34" s="15">
        <f>G35+G41+G42</f>
        <v>371376.06018000003</v>
      </c>
      <c r="H34" s="15">
        <f>H35+H41+H42</f>
        <v>382373.16500000004</v>
      </c>
      <c r="I34" s="15">
        <f>I35+I41+I42</f>
        <v>442406.80000000005</v>
      </c>
      <c r="J34" s="15">
        <f t="shared" ref="J34:O34" si="8">J35+J41+J42</f>
        <v>494694.61470000003</v>
      </c>
      <c r="K34" s="15">
        <f t="shared" si="8"/>
        <v>468843.23333999998</v>
      </c>
      <c r="L34" s="15">
        <f t="shared" si="8"/>
        <v>449229.7</v>
      </c>
      <c r="M34" s="15">
        <f t="shared" si="8"/>
        <v>440449.9</v>
      </c>
      <c r="N34" s="15">
        <f t="shared" si="8"/>
        <v>458067.8</v>
      </c>
      <c r="O34" s="15">
        <f t="shared" si="8"/>
        <v>476390.60000000003</v>
      </c>
    </row>
    <row r="35" spans="1:15" x14ac:dyDescent="0.25">
      <c r="A35" s="211"/>
      <c r="B35" s="211"/>
      <c r="C35" s="212"/>
      <c r="D35" s="12" t="s">
        <v>53</v>
      </c>
      <c r="E35" s="14">
        <f t="shared" si="1"/>
        <v>4344739.6140700001</v>
      </c>
      <c r="F35" s="16">
        <f t="shared" ref="F35:O35" si="9">F37+F38+F39</f>
        <v>360907.74085</v>
      </c>
      <c r="G35" s="16">
        <f t="shared" si="9"/>
        <v>371376.06018000003</v>
      </c>
      <c r="H35" s="16">
        <f t="shared" si="9"/>
        <v>382373.16500000004</v>
      </c>
      <c r="I35" s="16">
        <f t="shared" si="9"/>
        <v>442406.80000000005</v>
      </c>
      <c r="J35" s="16">
        <f t="shared" si="9"/>
        <v>494694.61470000003</v>
      </c>
      <c r="K35" s="16">
        <f t="shared" si="9"/>
        <v>468843.23333999998</v>
      </c>
      <c r="L35" s="16">
        <f t="shared" si="9"/>
        <v>449229.7</v>
      </c>
      <c r="M35" s="16">
        <f t="shared" si="9"/>
        <v>440449.9</v>
      </c>
      <c r="N35" s="16">
        <f t="shared" si="9"/>
        <v>458067.8</v>
      </c>
      <c r="O35" s="16">
        <f t="shared" si="9"/>
        <v>476390.60000000003</v>
      </c>
    </row>
    <row r="36" spans="1:15" x14ac:dyDescent="0.25">
      <c r="A36" s="211"/>
      <c r="B36" s="211"/>
      <c r="C36" s="212"/>
      <c r="D36" s="17" t="s">
        <v>46</v>
      </c>
      <c r="E36" s="14">
        <f t="shared" si="1"/>
        <v>0</v>
      </c>
      <c r="F36" s="16"/>
      <c r="G36" s="16"/>
      <c r="H36" s="16"/>
      <c r="I36" s="16"/>
      <c r="J36" s="16"/>
      <c r="K36" s="16"/>
      <c r="L36" s="108"/>
      <c r="M36" s="84"/>
      <c r="N36" s="84"/>
      <c r="O36" s="84"/>
    </row>
    <row r="37" spans="1:15" x14ac:dyDescent="0.25">
      <c r="A37" s="211"/>
      <c r="B37" s="211"/>
      <c r="C37" s="212"/>
      <c r="D37" s="17" t="s">
        <v>54</v>
      </c>
      <c r="E37" s="14">
        <f t="shared" si="1"/>
        <v>740291.86373999994</v>
      </c>
      <c r="F37" s="16">
        <f>'5'!L69+'5'!L80+'5'!L81+'5'!L82+'5'!L87+'5'!L92+'5'!L95+'5'!L96+'5'!L97+'5'!L114+'5'!L115+'5'!L116+'5'!L117</f>
        <v>70172.924140000003</v>
      </c>
      <c r="G37" s="16">
        <f>'5'!M68+'5'!M79+'5'!M80+'5'!M83+'5'!M84+'5'!M86+'5'!M97+'5'!M107+'5'!M113+'5'!M115+'5'!M117+'5'!M89</f>
        <v>72210.660179999992</v>
      </c>
      <c r="H37" s="16">
        <f>'5'!N68+'5'!N73+'5'!N75+'5'!N76+'5'!N80+'5'!N94+'5'!N98+'5'!N111+'5'!N112+'5'!N115+'5'!N117</f>
        <v>74682.785000000003</v>
      </c>
      <c r="I37" s="16">
        <f>'5'!O73+'5'!O79+'5'!O80+'5'!O84+'5'!O90+'5'!O94+'5'!O98+'5'!O111+'5'!O112+'5'!O117</f>
        <v>79795</v>
      </c>
      <c r="J37" s="16">
        <f>'5'!P73+'5'!P79+'5'!P80+'5'!P85+'5'!P93+'5'!P98+'5'!P99+'5'!P105+'5'!P112+'5'!P117+'5'!P118</f>
        <v>86135.594700000001</v>
      </c>
      <c r="K37" s="16">
        <f>'5'!Q80+'5'!Q99+'5'!Q112+'5'!Q117+'5'!Q118+17.8</f>
        <v>69414.799719999995</v>
      </c>
      <c r="L37" s="16">
        <f>'5'!R73+'5'!R79+'5'!R80+'5'!R85+'5'!R93+'5'!R98+'5'!R99+'5'!R105+'5'!R112+'5'!R117+'5'!R118</f>
        <v>69846.7</v>
      </c>
      <c r="M37" s="16">
        <f>'5'!S73+'5'!S79+'5'!S80+'5'!S85+'5'!S93+'5'!S98+'5'!S99+'5'!S105+'5'!S112+'5'!S117+'5'!S118</f>
        <v>69846.7</v>
      </c>
      <c r="N37" s="16">
        <f>'5'!T73+'5'!T79+'5'!T80+'5'!T85+'5'!T93+'5'!T98+'5'!T99+'5'!T105+'5'!T112+'5'!T117+'5'!T118</f>
        <v>72640.5</v>
      </c>
      <c r="O37" s="16">
        <f>'5'!U73+'5'!U79+'5'!U80+'5'!U85+'5'!U93+'5'!U98+'5'!U99+'5'!U105+'5'!U112+'5'!U117+'5'!U118</f>
        <v>75546.2</v>
      </c>
    </row>
    <row r="38" spans="1:15" x14ac:dyDescent="0.25">
      <c r="A38" s="211"/>
      <c r="B38" s="211"/>
      <c r="C38" s="212"/>
      <c r="D38" s="17" t="s">
        <v>48</v>
      </c>
      <c r="E38" s="14">
        <f t="shared" si="1"/>
        <v>115707.37032999999</v>
      </c>
      <c r="F38" s="16">
        <f>'5'!L66+'5'!L67+'5'!L70+'5'!L71+'5'!L77+'5'!L102</f>
        <v>15957.01671</v>
      </c>
      <c r="G38" s="16">
        <f>'5'!M78+'5'!M100+'5'!M101+'5'!M103+'5'!M104+'5'!M108</f>
        <v>13629.300000000001</v>
      </c>
      <c r="H38" s="16">
        <f>'5'!N74+'5'!N100+'5'!N110</f>
        <v>8460.2000000000007</v>
      </c>
      <c r="I38" s="16">
        <f>'5'!O76+'5'!O100</f>
        <v>9218.9</v>
      </c>
      <c r="J38" s="16">
        <f>'5'!P72+'5'!P100+'5'!P106+'5'!P110+'5'!P119</f>
        <v>33773.32</v>
      </c>
      <c r="K38" s="16">
        <f>'5'!Q100+'5'!Q110+'5'!Q119-17.8</f>
        <v>28978.93362</v>
      </c>
      <c r="L38" s="16">
        <f>'5'!R72+'5'!R100+'5'!R106+'5'!R110+'5'!R119</f>
        <v>1372</v>
      </c>
      <c r="M38" s="16">
        <f>'5'!S72+'5'!S100+'5'!S106+'5'!S110+'5'!S119</f>
        <v>1383.2</v>
      </c>
      <c r="N38" s="16">
        <f>'5'!T72+'5'!T100+'5'!T106+'5'!T110+'5'!T119</f>
        <v>1438.5</v>
      </c>
      <c r="O38" s="16">
        <f>'5'!U72+'5'!U100+'5'!U106+'5'!U110+'5'!U119</f>
        <v>1496</v>
      </c>
    </row>
    <row r="39" spans="1:15" x14ac:dyDescent="0.25">
      <c r="A39" s="211"/>
      <c r="B39" s="211"/>
      <c r="C39" s="212"/>
      <c r="D39" s="17" t="s">
        <v>49</v>
      </c>
      <c r="E39" s="14">
        <f t="shared" si="1"/>
        <v>3488740.3799999994</v>
      </c>
      <c r="F39" s="16">
        <f>'5'!L64+'5'!L65+'5'!L88+'5'!L91</f>
        <v>274777.8</v>
      </c>
      <c r="G39" s="16">
        <f>'5'!M65+'5'!M91</f>
        <v>285536.10000000003</v>
      </c>
      <c r="H39" s="16">
        <f>'5'!N65+'5'!N91</f>
        <v>299230.18000000005</v>
      </c>
      <c r="I39" s="16">
        <f>'5'!O65+'5'!O91</f>
        <v>353392.9</v>
      </c>
      <c r="J39" s="16">
        <f>'5'!P65+'5'!P91</f>
        <v>374785.7</v>
      </c>
      <c r="K39" s="16">
        <f>'5'!Q65+'5'!Q91</f>
        <v>370449.5</v>
      </c>
      <c r="L39" s="16">
        <f>'5'!R65+'5'!R91</f>
        <v>378011</v>
      </c>
      <c r="M39" s="16">
        <f>'5'!S65+'5'!S91</f>
        <v>369220</v>
      </c>
      <c r="N39" s="16">
        <f>'5'!T65+'5'!T91</f>
        <v>383988.8</v>
      </c>
      <c r="O39" s="16">
        <f>'5'!U65+'5'!U91</f>
        <v>399348.4</v>
      </c>
    </row>
    <row r="40" spans="1:15" ht="22.5" x14ac:dyDescent="0.25">
      <c r="A40" s="211"/>
      <c r="B40" s="211"/>
      <c r="C40" s="212"/>
      <c r="D40" s="17" t="s">
        <v>50</v>
      </c>
      <c r="E40" s="14">
        <f t="shared" si="1"/>
        <v>0</v>
      </c>
      <c r="F40" s="16"/>
      <c r="G40" s="16"/>
      <c r="H40" s="16"/>
      <c r="I40" s="16"/>
      <c r="J40" s="16"/>
      <c r="K40" s="16"/>
      <c r="L40" s="108"/>
      <c r="M40" s="84"/>
      <c r="N40" s="84"/>
      <c r="O40" s="84"/>
    </row>
    <row r="41" spans="1:15" ht="22.5" x14ac:dyDescent="0.25">
      <c r="A41" s="211"/>
      <c r="B41" s="211"/>
      <c r="C41" s="212"/>
      <c r="D41" s="18" t="s">
        <v>51</v>
      </c>
      <c r="E41" s="14">
        <f t="shared" si="1"/>
        <v>0</v>
      </c>
      <c r="F41" s="16"/>
      <c r="G41" s="16"/>
      <c r="H41" s="16"/>
      <c r="I41" s="16"/>
      <c r="J41" s="16"/>
      <c r="K41" s="16"/>
      <c r="L41" s="108"/>
      <c r="M41" s="84"/>
      <c r="N41" s="84"/>
      <c r="O41" s="84"/>
    </row>
    <row r="42" spans="1:15" x14ac:dyDescent="0.25">
      <c r="A42" s="211"/>
      <c r="B42" s="211"/>
      <c r="C42" s="212"/>
      <c r="D42" s="18" t="s">
        <v>52</v>
      </c>
      <c r="E42" s="14">
        <f t="shared" si="1"/>
        <v>0</v>
      </c>
      <c r="F42" s="16"/>
      <c r="G42" s="16"/>
      <c r="H42" s="16"/>
      <c r="I42" s="16"/>
      <c r="J42" s="16"/>
      <c r="K42" s="16"/>
      <c r="L42" s="108"/>
      <c r="M42" s="84"/>
      <c r="N42" s="84"/>
      <c r="O42" s="84"/>
    </row>
    <row r="43" spans="1:15" x14ac:dyDescent="0.25">
      <c r="A43" s="211" t="s">
        <v>68</v>
      </c>
      <c r="B43" s="211" t="s">
        <v>71</v>
      </c>
      <c r="C43" s="212" t="s">
        <v>268</v>
      </c>
      <c r="D43" s="13" t="s">
        <v>36</v>
      </c>
      <c r="E43" s="14">
        <f t="shared" si="1"/>
        <v>708422.99155000004</v>
      </c>
      <c r="F43" s="15">
        <f>F44+F50+F51</f>
        <v>55528.668800000007</v>
      </c>
      <c r="G43" s="15">
        <f>G44+G50+G51</f>
        <v>57395.35312</v>
      </c>
      <c r="H43" s="15">
        <f>H44+H50+H51</f>
        <v>64737.813470000001</v>
      </c>
      <c r="I43" s="15">
        <f>I44+I50+I51</f>
        <v>71267.3</v>
      </c>
      <c r="J43" s="15">
        <f t="shared" ref="J43:O43" si="10">J44+J50+J51</f>
        <v>74644.856159999996</v>
      </c>
      <c r="K43" s="15">
        <f t="shared" si="10"/>
        <v>71129</v>
      </c>
      <c r="L43" s="15">
        <f t="shared" si="10"/>
        <v>74205.399999999994</v>
      </c>
      <c r="M43" s="15">
        <f t="shared" si="10"/>
        <v>76728.2</v>
      </c>
      <c r="N43" s="15">
        <f t="shared" si="10"/>
        <v>79797.3</v>
      </c>
      <c r="O43" s="15">
        <f t="shared" si="10"/>
        <v>82989.100000000006</v>
      </c>
    </row>
    <row r="44" spans="1:15" x14ac:dyDescent="0.25">
      <c r="A44" s="211"/>
      <c r="B44" s="211"/>
      <c r="C44" s="212"/>
      <c r="D44" s="12" t="s">
        <v>53</v>
      </c>
      <c r="E44" s="14">
        <f t="shared" si="1"/>
        <v>708422.99155000004</v>
      </c>
      <c r="F44" s="16">
        <f>F46+F47+F48+F49</f>
        <v>55528.668800000007</v>
      </c>
      <c r="G44" s="16">
        <f>G46+G47+G48+G49</f>
        <v>57395.35312</v>
      </c>
      <c r="H44" s="16">
        <f>H46+H47+H48+H49</f>
        <v>64737.813470000001</v>
      </c>
      <c r="I44" s="16">
        <f>I46+I47+I48+I49</f>
        <v>71267.3</v>
      </c>
      <c r="J44" s="16">
        <f t="shared" ref="J44:O44" si="11">J46+J47+J48+J49</f>
        <v>74644.856159999996</v>
      </c>
      <c r="K44" s="16">
        <f t="shared" si="11"/>
        <v>71129</v>
      </c>
      <c r="L44" s="16">
        <f t="shared" si="11"/>
        <v>74205.399999999994</v>
      </c>
      <c r="M44" s="16">
        <f t="shared" si="11"/>
        <v>76728.2</v>
      </c>
      <c r="N44" s="16">
        <f t="shared" si="11"/>
        <v>79797.3</v>
      </c>
      <c r="O44" s="16">
        <f t="shared" si="11"/>
        <v>82989.100000000006</v>
      </c>
    </row>
    <row r="45" spans="1:15" x14ac:dyDescent="0.25">
      <c r="A45" s="211"/>
      <c r="B45" s="211"/>
      <c r="C45" s="212"/>
      <c r="D45" s="17" t="s">
        <v>46</v>
      </c>
      <c r="E45" s="14">
        <f t="shared" si="1"/>
        <v>0</v>
      </c>
      <c r="F45" s="16"/>
      <c r="G45" s="16"/>
      <c r="H45" s="16"/>
      <c r="I45" s="16"/>
      <c r="J45" s="16"/>
      <c r="K45" s="16"/>
      <c r="L45" s="108"/>
      <c r="M45" s="84"/>
      <c r="N45" s="84"/>
      <c r="O45" s="84"/>
    </row>
    <row r="46" spans="1:15" x14ac:dyDescent="0.25">
      <c r="A46" s="211"/>
      <c r="B46" s="211"/>
      <c r="C46" s="212"/>
      <c r="D46" s="17" t="s">
        <v>47</v>
      </c>
      <c r="E46" s="14">
        <f t="shared" si="1"/>
        <v>698928.33354999998</v>
      </c>
      <c r="F46" s="16">
        <f>'5'!L124+'5'!L131+'5'!L136+'5'!L140+'5'!L145+'5'!L149+'5'!L152</f>
        <v>54888.010800000004</v>
      </c>
      <c r="G46" s="16">
        <f>'5'!M125+'5'!M128+'5'!M132+'5'!M135+'5'!M142+'5'!M143+'5'!M147+'5'!M151+'5'!M127</f>
        <v>57395.35312</v>
      </c>
      <c r="H46" s="16">
        <f>'5'!N126+'5'!N133+'5'!N141+'5'!N144+'5'!N148+'5'!N150</f>
        <v>55883.813470000001</v>
      </c>
      <c r="I46" s="16">
        <f>'5'!O126+'5'!O128+'5'!O130+'5'!O133+'5'!O138+'5'!O141+'5'!O144+'5'!O148+'5'!O153</f>
        <v>71267.3</v>
      </c>
      <c r="J46" s="16">
        <f>'5'!P126+'5'!P128+'5'!P130+'5'!P133+'5'!P141+'5'!P144+'5'!P150+'5'!P153</f>
        <v>74644.856159999996</v>
      </c>
      <c r="K46" s="16">
        <f>'5'!Q126+'5'!Q133+'5'!Q141+'5'!Q144+'5'!Q153</f>
        <v>71129</v>
      </c>
      <c r="L46" s="16">
        <f>'5'!R126+'5'!R128+'5'!R130+'5'!R133+'5'!R141+'5'!R144+'5'!R150+'5'!R153</f>
        <v>74205.399999999994</v>
      </c>
      <c r="M46" s="16">
        <f>'5'!S126+'5'!S128+'5'!S130+'5'!S133+'5'!S141+'5'!S144+'5'!S150+'5'!S153</f>
        <v>76728.2</v>
      </c>
      <c r="N46" s="16">
        <f>'5'!T126+'5'!T128+'5'!T130+'5'!T133+'5'!T141+'5'!T144+'5'!T150+'5'!T153</f>
        <v>79797.3</v>
      </c>
      <c r="O46" s="16">
        <f>'5'!U126+'5'!U128+'5'!U130+'5'!U133+'5'!U141+'5'!U144+'5'!U150+'5'!U153</f>
        <v>82989.100000000006</v>
      </c>
    </row>
    <row r="47" spans="1:15" x14ac:dyDescent="0.25">
      <c r="A47" s="211"/>
      <c r="B47" s="211"/>
      <c r="C47" s="212"/>
      <c r="D47" s="17" t="s">
        <v>48</v>
      </c>
      <c r="E47" s="14">
        <f t="shared" si="1"/>
        <v>640.65800000000002</v>
      </c>
      <c r="F47" s="16">
        <f>'5'!L137+'5'!L139+'5'!L146</f>
        <v>640.65800000000002</v>
      </c>
      <c r="G47" s="16">
        <f>'5'!M137+'5'!M139+'5'!M146</f>
        <v>0</v>
      </c>
      <c r="H47" s="16">
        <v>0</v>
      </c>
      <c r="I47" s="16">
        <v>0</v>
      </c>
      <c r="J47" s="16">
        <v>0</v>
      </c>
      <c r="K47" s="16">
        <v>0</v>
      </c>
      <c r="L47" s="108">
        <v>0</v>
      </c>
      <c r="M47" s="84"/>
      <c r="N47" s="84"/>
      <c r="O47" s="84"/>
    </row>
    <row r="48" spans="1:15" x14ac:dyDescent="0.25">
      <c r="A48" s="211"/>
      <c r="B48" s="211"/>
      <c r="C48" s="212"/>
      <c r="D48" s="17" t="s">
        <v>49</v>
      </c>
      <c r="E48" s="14">
        <f t="shared" si="1"/>
        <v>0</v>
      </c>
      <c r="F48" s="16"/>
      <c r="G48" s="16"/>
      <c r="H48" s="16"/>
      <c r="I48" s="16"/>
      <c r="J48" s="16"/>
      <c r="K48" s="16"/>
      <c r="L48" s="108"/>
      <c r="M48" s="84"/>
      <c r="N48" s="84"/>
      <c r="O48" s="84"/>
    </row>
    <row r="49" spans="1:15" ht="22.5" x14ac:dyDescent="0.25">
      <c r="A49" s="211"/>
      <c r="B49" s="211"/>
      <c r="C49" s="212"/>
      <c r="D49" s="17" t="s">
        <v>50</v>
      </c>
      <c r="E49" s="14">
        <f t="shared" si="1"/>
        <v>8854</v>
      </c>
      <c r="F49" s="16">
        <v>0</v>
      </c>
      <c r="G49" s="16">
        <v>0</v>
      </c>
      <c r="H49" s="16">
        <f>'5'!N134+'5'!N129</f>
        <v>8854</v>
      </c>
      <c r="I49" s="16">
        <f>'5'!O134+'5'!O129</f>
        <v>0</v>
      </c>
      <c r="J49" s="16">
        <f>'5'!P134+'5'!P129</f>
        <v>0</v>
      </c>
      <c r="K49" s="16">
        <f>'5'!Q134+'5'!Q129</f>
        <v>0</v>
      </c>
      <c r="L49" s="108">
        <f>'5'!R134+'5'!R129</f>
        <v>0</v>
      </c>
      <c r="M49" s="84"/>
      <c r="N49" s="84"/>
      <c r="O49" s="84"/>
    </row>
    <row r="50" spans="1:15" ht="22.5" x14ac:dyDescent="0.25">
      <c r="A50" s="211"/>
      <c r="B50" s="211"/>
      <c r="C50" s="212"/>
      <c r="D50" s="18" t="s">
        <v>51</v>
      </c>
      <c r="E50" s="14">
        <f t="shared" si="1"/>
        <v>0</v>
      </c>
      <c r="F50" s="16"/>
      <c r="G50" s="16"/>
      <c r="H50" s="16"/>
      <c r="I50" s="16"/>
      <c r="J50" s="16"/>
      <c r="K50" s="16"/>
      <c r="L50" s="108"/>
      <c r="M50" s="84"/>
      <c r="N50" s="84"/>
      <c r="O50" s="84"/>
    </row>
    <row r="51" spans="1:15" x14ac:dyDescent="0.25">
      <c r="A51" s="211"/>
      <c r="B51" s="211"/>
      <c r="C51" s="212"/>
      <c r="D51" s="18" t="s">
        <v>52</v>
      </c>
      <c r="E51" s="14">
        <f t="shared" si="1"/>
        <v>0</v>
      </c>
      <c r="F51" s="16"/>
      <c r="G51" s="16"/>
      <c r="H51" s="16"/>
      <c r="I51" s="16"/>
      <c r="J51" s="16"/>
      <c r="K51" s="16"/>
      <c r="L51" s="108"/>
      <c r="M51" s="84"/>
      <c r="N51" s="84"/>
      <c r="O51" s="84"/>
    </row>
    <row r="52" spans="1:15" x14ac:dyDescent="0.25">
      <c r="A52" s="211" t="s">
        <v>68</v>
      </c>
      <c r="B52" s="211" t="s">
        <v>87</v>
      </c>
      <c r="C52" s="212" t="s">
        <v>257</v>
      </c>
      <c r="D52" s="13" t="s">
        <v>36</v>
      </c>
      <c r="E52" s="14">
        <f t="shared" si="1"/>
        <v>89673.675000000017</v>
      </c>
      <c r="F52" s="15">
        <f>F53+F59+F60</f>
        <v>9364.344000000001</v>
      </c>
      <c r="G52" s="15">
        <f>G53+G59+G60</f>
        <v>9442.7569999999996</v>
      </c>
      <c r="H52" s="15">
        <f>H53+H59+H60</f>
        <v>8978.1319999999996</v>
      </c>
      <c r="I52" s="15">
        <f>I53+I59+I60</f>
        <v>10909.469000000001</v>
      </c>
      <c r="J52" s="15">
        <f t="shared" ref="J52:O52" si="12">J53+J59+J60</f>
        <v>11564.873</v>
      </c>
      <c r="K52" s="15">
        <f t="shared" si="12"/>
        <v>11349.2</v>
      </c>
      <c r="L52" s="15">
        <f t="shared" si="12"/>
        <v>6762.3</v>
      </c>
      <c r="M52" s="15">
        <f t="shared" si="12"/>
        <v>6824.3</v>
      </c>
      <c r="N52" s="15">
        <f t="shared" si="12"/>
        <v>7097.2000000000007</v>
      </c>
      <c r="O52" s="15">
        <f t="shared" si="12"/>
        <v>7381.0999999999995</v>
      </c>
    </row>
    <row r="53" spans="1:15" x14ac:dyDescent="0.25">
      <c r="A53" s="211"/>
      <c r="B53" s="211"/>
      <c r="C53" s="212"/>
      <c r="D53" s="12" t="s">
        <v>53</v>
      </c>
      <c r="E53" s="14">
        <f t="shared" si="1"/>
        <v>89673.675000000017</v>
      </c>
      <c r="F53" s="16">
        <f>F55+F56+F57+F58</f>
        <v>9364.344000000001</v>
      </c>
      <c r="G53" s="16">
        <f>G55+G56+G57+G58</f>
        <v>9442.7569999999996</v>
      </c>
      <c r="H53" s="16">
        <f>H55+H56+H57+H58</f>
        <v>8978.1319999999996</v>
      </c>
      <c r="I53" s="16">
        <f>I55+I56+I57+I58</f>
        <v>10909.469000000001</v>
      </c>
      <c r="J53" s="16">
        <f t="shared" ref="J53:O53" si="13">J55+J56+J57+J58</f>
        <v>11564.873</v>
      </c>
      <c r="K53" s="16">
        <f t="shared" si="13"/>
        <v>11349.2</v>
      </c>
      <c r="L53" s="16">
        <f t="shared" si="13"/>
        <v>6762.3</v>
      </c>
      <c r="M53" s="16">
        <f t="shared" si="13"/>
        <v>6824.3</v>
      </c>
      <c r="N53" s="16">
        <f t="shared" si="13"/>
        <v>7097.2000000000007</v>
      </c>
      <c r="O53" s="16">
        <f t="shared" si="13"/>
        <v>7381.0999999999995</v>
      </c>
    </row>
    <row r="54" spans="1:15" x14ac:dyDescent="0.25">
      <c r="A54" s="211"/>
      <c r="B54" s="211"/>
      <c r="C54" s="212"/>
      <c r="D54" s="17" t="s">
        <v>46</v>
      </c>
      <c r="E54" s="14">
        <f t="shared" si="1"/>
        <v>0</v>
      </c>
      <c r="F54" s="16"/>
      <c r="G54" s="16"/>
      <c r="H54" s="16"/>
      <c r="I54" s="16"/>
      <c r="J54" s="16"/>
      <c r="K54" s="16"/>
      <c r="L54" s="108"/>
      <c r="M54" s="84"/>
      <c r="N54" s="84"/>
      <c r="O54" s="84"/>
    </row>
    <row r="55" spans="1:15" x14ac:dyDescent="0.25">
      <c r="A55" s="211"/>
      <c r="B55" s="211"/>
      <c r="C55" s="212"/>
      <c r="D55" s="17" t="s">
        <v>47</v>
      </c>
      <c r="E55" s="14">
        <f t="shared" si="1"/>
        <v>65688.644000000015</v>
      </c>
      <c r="F55" s="16">
        <f>'5'!L158+'5'!L159+'5'!L161+'5'!L162+'5'!L164+'5'!L168+'5'!L169</f>
        <v>5868.7579999999998</v>
      </c>
      <c r="G55" s="16">
        <f>'5'!M159+'5'!M162+'5'!M169</f>
        <v>6128.2</v>
      </c>
      <c r="H55" s="16">
        <f>'5'!N159+'5'!N169+'5'!N170+'5'!N174+'5'!N176</f>
        <v>5756.2</v>
      </c>
      <c r="I55" s="16">
        <f>'5'!O159+'5'!O170+'5'!O174+'5'!O176</f>
        <v>6504.7</v>
      </c>
      <c r="J55" s="16">
        <f>'5'!P159+'5'!P166+'5'!P170+'5'!P173+'5'!P174+'5'!P175+'5'!P176+'5'!P177</f>
        <v>6666.5860000000002</v>
      </c>
      <c r="K55" s="16">
        <f>'5'!Q159+'5'!Q166+'5'!Q170+'5'!Q173+'5'!Q174+'5'!Q175+'5'!Q176+'5'!Q177</f>
        <v>6699.3</v>
      </c>
      <c r="L55" s="16">
        <f>'5'!R159+'5'!R166+'5'!R170+'5'!R173+'5'!R174+'5'!R175+'5'!R176+'5'!R177</f>
        <v>6762.3</v>
      </c>
      <c r="M55" s="16">
        <f>'5'!S159+'5'!S166+'5'!S170+'5'!S173+'5'!S174+'5'!S175+'5'!S176+'5'!S177</f>
        <v>6824.3</v>
      </c>
      <c r="N55" s="16">
        <f>'5'!T159+'5'!T166+'5'!T170+'5'!T173+'5'!T174+'5'!T175+'5'!T176+'5'!T177</f>
        <v>7097.2000000000007</v>
      </c>
      <c r="O55" s="16">
        <f>'5'!U159+'5'!U166+'5'!U170+'5'!U173+'5'!U174+'5'!U175+'5'!U176+'5'!U177</f>
        <v>7381.0999999999995</v>
      </c>
    </row>
    <row r="56" spans="1:15" x14ac:dyDescent="0.25">
      <c r="A56" s="211"/>
      <c r="B56" s="211"/>
      <c r="C56" s="212"/>
      <c r="D56" s="17" t="s">
        <v>48</v>
      </c>
      <c r="E56" s="14">
        <f t="shared" si="1"/>
        <v>23985.031000000003</v>
      </c>
      <c r="F56" s="16">
        <f>'5'!L163+'5'!L165+'5'!L167</f>
        <v>3495.5860000000002</v>
      </c>
      <c r="G56" s="16">
        <f>'5'!M160+'5'!M171</f>
        <v>3314.5569999999998</v>
      </c>
      <c r="H56" s="16">
        <f>'5'!N160+'5'!N171</f>
        <v>3221.9319999999998</v>
      </c>
      <c r="I56" s="16">
        <f>'5'!O160+'5'!O171</f>
        <v>4404.7690000000002</v>
      </c>
      <c r="J56" s="16">
        <f>'5'!P171+'5'!P172</f>
        <v>4898.2870000000003</v>
      </c>
      <c r="K56" s="16">
        <f>'5'!Q171+'5'!Q172</f>
        <v>4649.8999999999996</v>
      </c>
      <c r="L56" s="16">
        <f>'5'!R171+'5'!R172</f>
        <v>0</v>
      </c>
      <c r="M56" s="16">
        <f>'5'!S171+'5'!S172</f>
        <v>0</v>
      </c>
      <c r="N56" s="16">
        <f>'5'!T171+'5'!T172</f>
        <v>0</v>
      </c>
      <c r="O56" s="16">
        <f>'5'!U171+'5'!U172</f>
        <v>0</v>
      </c>
    </row>
    <row r="57" spans="1:15" x14ac:dyDescent="0.25">
      <c r="A57" s="211"/>
      <c r="B57" s="211"/>
      <c r="C57" s="212"/>
      <c r="D57" s="17" t="s">
        <v>49</v>
      </c>
      <c r="E57" s="14">
        <f t="shared" si="1"/>
        <v>0</v>
      </c>
      <c r="F57" s="16">
        <v>0</v>
      </c>
      <c r="G57" s="16">
        <f>'5'!M165+'5'!M167</f>
        <v>0</v>
      </c>
      <c r="H57" s="16">
        <f>'5'!N165+'5'!N167</f>
        <v>0</v>
      </c>
      <c r="I57" s="16">
        <f>'5'!O165+'5'!O167</f>
        <v>0</v>
      </c>
      <c r="J57" s="16">
        <f>'5'!P165+'5'!P167</f>
        <v>0</v>
      </c>
      <c r="K57" s="16">
        <f>'5'!Q165+'5'!Q167</f>
        <v>0</v>
      </c>
      <c r="L57" s="108">
        <f>'5'!R165+'5'!R167</f>
        <v>0</v>
      </c>
      <c r="M57" s="84"/>
      <c r="N57" s="84"/>
      <c r="O57" s="84"/>
    </row>
    <row r="58" spans="1:15" ht="22.5" x14ac:dyDescent="0.25">
      <c r="A58" s="211"/>
      <c r="B58" s="211"/>
      <c r="C58" s="212"/>
      <c r="D58" s="17" t="s">
        <v>50</v>
      </c>
      <c r="E58" s="14">
        <f t="shared" si="1"/>
        <v>0</v>
      </c>
      <c r="F58" s="16"/>
      <c r="G58" s="16"/>
      <c r="H58" s="16"/>
      <c r="I58" s="16"/>
      <c r="J58" s="16"/>
      <c r="K58" s="16"/>
      <c r="L58" s="108"/>
      <c r="M58" s="84"/>
      <c r="N58" s="84"/>
      <c r="O58" s="84"/>
    </row>
    <row r="59" spans="1:15" ht="22.5" x14ac:dyDescent="0.25">
      <c r="A59" s="211"/>
      <c r="B59" s="211"/>
      <c r="C59" s="212"/>
      <c r="D59" s="18" t="s">
        <v>51</v>
      </c>
      <c r="E59" s="14">
        <f t="shared" si="1"/>
        <v>0</v>
      </c>
      <c r="F59" s="16"/>
      <c r="G59" s="16"/>
      <c r="H59" s="16"/>
      <c r="I59" s="16"/>
      <c r="J59" s="16"/>
      <c r="K59" s="16"/>
      <c r="L59" s="108"/>
      <c r="M59" s="84"/>
      <c r="N59" s="84"/>
      <c r="O59" s="84"/>
    </row>
    <row r="60" spans="1:15" x14ac:dyDescent="0.25">
      <c r="A60" s="211"/>
      <c r="B60" s="211"/>
      <c r="C60" s="212"/>
      <c r="D60" s="18" t="s">
        <v>52</v>
      </c>
      <c r="E60" s="14">
        <f t="shared" si="1"/>
        <v>0</v>
      </c>
      <c r="F60" s="16"/>
      <c r="G60" s="16"/>
      <c r="H60" s="16"/>
      <c r="I60" s="16"/>
      <c r="J60" s="16"/>
      <c r="K60" s="16"/>
      <c r="L60" s="108"/>
      <c r="M60" s="84"/>
      <c r="N60" s="84"/>
      <c r="O60" s="84"/>
    </row>
    <row r="61" spans="1:15" x14ac:dyDescent="0.25">
      <c r="A61" s="211" t="s">
        <v>68</v>
      </c>
      <c r="B61" s="211" t="s">
        <v>72</v>
      </c>
      <c r="C61" s="212" t="s">
        <v>270</v>
      </c>
      <c r="D61" s="13" t="s">
        <v>36</v>
      </c>
      <c r="E61" s="14">
        <f t="shared" si="1"/>
        <v>262290.49556000001</v>
      </c>
      <c r="F61" s="15">
        <f>F62+F68+F69</f>
        <v>21435.16852000001</v>
      </c>
      <c r="G61" s="15">
        <f>G62+G68+G69</f>
        <v>22200.189399999996</v>
      </c>
      <c r="H61" s="15">
        <f>H62+H68+H69</f>
        <v>23413.766</v>
      </c>
      <c r="I61" s="15">
        <f>I62+I68+I69</f>
        <v>25425.110639999999</v>
      </c>
      <c r="J61" s="15">
        <f t="shared" ref="J61:O61" si="14">J62+J68+J69</f>
        <v>26117.360999999997</v>
      </c>
      <c r="K61" s="15">
        <f t="shared" si="14"/>
        <v>26948.3</v>
      </c>
      <c r="L61" s="15">
        <f t="shared" si="14"/>
        <v>27657.9</v>
      </c>
      <c r="M61" s="15">
        <f t="shared" si="14"/>
        <v>28540.7</v>
      </c>
      <c r="N61" s="15">
        <f t="shared" si="14"/>
        <v>29682.3</v>
      </c>
      <c r="O61" s="15">
        <f t="shared" si="14"/>
        <v>30869.699999999997</v>
      </c>
    </row>
    <row r="62" spans="1:15" x14ac:dyDescent="0.25">
      <c r="A62" s="211"/>
      <c r="B62" s="211"/>
      <c r="C62" s="212"/>
      <c r="D62" s="12" t="s">
        <v>53</v>
      </c>
      <c r="E62" s="14">
        <f t="shared" si="1"/>
        <v>262290.49556000001</v>
      </c>
      <c r="F62" s="16">
        <f>F64+F65+F66+F67</f>
        <v>21435.16852000001</v>
      </c>
      <c r="G62" s="16">
        <f>G64+G65+G66+G67</f>
        <v>22200.189399999996</v>
      </c>
      <c r="H62" s="16">
        <f>H64+H65+H66+H67</f>
        <v>23413.766</v>
      </c>
      <c r="I62" s="16">
        <f>I64+I65+I66+I67</f>
        <v>25425.110639999999</v>
      </c>
      <c r="J62" s="16">
        <f t="shared" ref="J62:O62" si="15">J64+J65+J66+J67</f>
        <v>26117.360999999997</v>
      </c>
      <c r="K62" s="16">
        <f t="shared" si="15"/>
        <v>26948.3</v>
      </c>
      <c r="L62" s="16">
        <f t="shared" si="15"/>
        <v>27657.9</v>
      </c>
      <c r="M62" s="16">
        <f t="shared" si="15"/>
        <v>28540.7</v>
      </c>
      <c r="N62" s="16">
        <f t="shared" si="15"/>
        <v>29682.3</v>
      </c>
      <c r="O62" s="16">
        <f t="shared" si="15"/>
        <v>30869.699999999997</v>
      </c>
    </row>
    <row r="63" spans="1:15" x14ac:dyDescent="0.25">
      <c r="A63" s="211"/>
      <c r="B63" s="211"/>
      <c r="C63" s="212"/>
      <c r="D63" s="17" t="s">
        <v>46</v>
      </c>
      <c r="E63" s="14">
        <f t="shared" si="1"/>
        <v>0</v>
      </c>
      <c r="F63" s="16"/>
      <c r="G63" s="16"/>
      <c r="H63" s="16"/>
      <c r="I63" s="16"/>
      <c r="J63" s="16"/>
      <c r="K63" s="16"/>
      <c r="L63" s="108"/>
      <c r="M63" s="84"/>
      <c r="N63" s="84"/>
      <c r="O63" s="84"/>
    </row>
    <row r="64" spans="1:15" x14ac:dyDescent="0.25">
      <c r="A64" s="211"/>
      <c r="B64" s="211"/>
      <c r="C64" s="212"/>
      <c r="D64" s="17" t="s">
        <v>47</v>
      </c>
      <c r="E64" s="14">
        <f t="shared" si="1"/>
        <v>260580.10956000001</v>
      </c>
      <c r="F64" s="16">
        <f>'5'!L181+'5'!L182+'5'!L183+'5'!L185+'5'!L188+'5'!L190+'5'!L191+'5'!L192</f>
        <v>21411.482520000009</v>
      </c>
      <c r="G64" s="16">
        <f>'5'!M182+'5'!M185+'5'!M190+'5'!M192+'5'!M193</f>
        <v>21782.189399999996</v>
      </c>
      <c r="H64" s="16">
        <f>'5'!N182+'5'!N185+'5'!N190+'5'!N192</f>
        <v>22900.766</v>
      </c>
      <c r="I64" s="16">
        <f>'5'!O182+'5'!O184+'5'!O185+'5'!O187+'5'!O190+'5'!O192</f>
        <v>25050.81064</v>
      </c>
      <c r="J64" s="16">
        <f>'5'!P182+'5'!P184+'5'!P185+'5'!P187+'5'!P190+'5'!P192</f>
        <v>25845.660999999996</v>
      </c>
      <c r="K64" s="16">
        <f>'5'!Q182+'5'!Q184+'5'!Q185+'5'!Q187+'5'!Q190+'5'!Q192</f>
        <v>26838.6</v>
      </c>
      <c r="L64" s="16">
        <f>'5'!R182+'5'!R184+'5'!R185+'5'!R187+'5'!R190+'5'!R192</f>
        <v>27657.9</v>
      </c>
      <c r="M64" s="16">
        <f>'5'!S182+'5'!S184+'5'!S185+'5'!S187+'5'!S190+'5'!S192</f>
        <v>28540.7</v>
      </c>
      <c r="N64" s="16">
        <f>'5'!T182+'5'!T184+'5'!T185+'5'!T187+'5'!T190+'5'!T192</f>
        <v>29682.3</v>
      </c>
      <c r="O64" s="16">
        <f>'5'!U182+'5'!U184+'5'!U185+'5'!U187+'5'!U190+'5'!U192</f>
        <v>30869.699999999997</v>
      </c>
    </row>
    <row r="65" spans="1:15" x14ac:dyDescent="0.25">
      <c r="A65" s="211"/>
      <c r="B65" s="211"/>
      <c r="C65" s="212"/>
      <c r="D65" s="17" t="s">
        <v>48</v>
      </c>
      <c r="E65" s="14">
        <f t="shared" si="1"/>
        <v>1710.386</v>
      </c>
      <c r="F65" s="16">
        <f>'5'!L186</f>
        <v>23.686</v>
      </c>
      <c r="G65" s="16">
        <f>'5'!M189</f>
        <v>418</v>
      </c>
      <c r="H65" s="16">
        <f>'5'!N189</f>
        <v>513</v>
      </c>
      <c r="I65" s="16">
        <f>'5'!O189</f>
        <v>374.3</v>
      </c>
      <c r="J65" s="16">
        <f>'5'!P189</f>
        <v>271.7</v>
      </c>
      <c r="K65" s="16">
        <f>'5'!Q189</f>
        <v>109.7</v>
      </c>
      <c r="L65" s="16">
        <f>'5'!R189</f>
        <v>0</v>
      </c>
      <c r="M65" s="16">
        <f>'5'!S189</f>
        <v>0</v>
      </c>
      <c r="N65" s="16">
        <f>'5'!T189</f>
        <v>0</v>
      </c>
      <c r="O65" s="16">
        <f>'5'!U189</f>
        <v>0</v>
      </c>
    </row>
    <row r="66" spans="1:15" x14ac:dyDescent="0.25">
      <c r="A66" s="211"/>
      <c r="B66" s="211"/>
      <c r="C66" s="212"/>
      <c r="D66" s="17" t="s">
        <v>49</v>
      </c>
      <c r="E66" s="14">
        <f t="shared" si="1"/>
        <v>0</v>
      </c>
      <c r="F66" s="16"/>
      <c r="G66" s="16"/>
      <c r="H66" s="16"/>
      <c r="I66" s="16"/>
      <c r="J66" s="16"/>
      <c r="K66" s="16"/>
      <c r="L66" s="149"/>
      <c r="M66" s="150"/>
      <c r="N66" s="150"/>
      <c r="O66" s="150"/>
    </row>
    <row r="67" spans="1:15" ht="22.5" x14ac:dyDescent="0.25">
      <c r="A67" s="211"/>
      <c r="B67" s="211"/>
      <c r="C67" s="212"/>
      <c r="D67" s="17" t="s">
        <v>50</v>
      </c>
      <c r="E67" s="14">
        <f t="shared" si="1"/>
        <v>0</v>
      </c>
      <c r="F67" s="16"/>
      <c r="G67" s="16"/>
      <c r="H67" s="16"/>
      <c r="I67" s="16"/>
      <c r="J67" s="16"/>
      <c r="K67" s="108"/>
      <c r="L67" s="151"/>
      <c r="M67" s="84"/>
      <c r="N67" s="84"/>
      <c r="O67" s="84"/>
    </row>
    <row r="68" spans="1:15" ht="22.5" x14ac:dyDescent="0.25">
      <c r="A68" s="211"/>
      <c r="B68" s="211"/>
      <c r="C68" s="212"/>
      <c r="D68" s="18" t="s">
        <v>51</v>
      </c>
      <c r="E68" s="14">
        <f t="shared" si="1"/>
        <v>0</v>
      </c>
      <c r="F68" s="16"/>
      <c r="G68" s="16"/>
      <c r="H68" s="16"/>
      <c r="I68" s="16"/>
      <c r="J68" s="16"/>
      <c r="K68" s="108"/>
      <c r="L68" s="151"/>
      <c r="M68" s="84"/>
      <c r="N68" s="84"/>
      <c r="O68" s="84"/>
    </row>
    <row r="69" spans="1:15" x14ac:dyDescent="0.25">
      <c r="A69" s="211"/>
      <c r="B69" s="211"/>
      <c r="C69" s="212"/>
      <c r="D69" s="18" t="s">
        <v>52</v>
      </c>
      <c r="E69" s="14">
        <f t="shared" si="1"/>
        <v>0</v>
      </c>
      <c r="F69" s="16"/>
      <c r="G69" s="16"/>
      <c r="H69" s="16"/>
      <c r="I69" s="16"/>
      <c r="J69" s="16"/>
      <c r="K69" s="108"/>
      <c r="L69" s="151"/>
      <c r="M69" s="84"/>
      <c r="N69" s="84"/>
      <c r="O69" s="84"/>
    </row>
    <row r="77" spans="1:15" x14ac:dyDescent="0.25">
      <c r="E77" s="36"/>
      <c r="F77" s="36"/>
      <c r="G77" s="36"/>
      <c r="H77" s="36"/>
      <c r="I77" s="36"/>
      <c r="J77" s="36"/>
      <c r="K77" s="36"/>
      <c r="L77" s="36"/>
    </row>
  </sheetData>
  <sheetProtection selectLockedCells="1" selectUnlockedCells="1"/>
  <mergeCells count="35">
    <mergeCell ref="C11:C15"/>
    <mergeCell ref="D11:D15"/>
    <mergeCell ref="E14:E15"/>
    <mergeCell ref="I14:I15"/>
    <mergeCell ref="J14:J15"/>
    <mergeCell ref="K14:K15"/>
    <mergeCell ref="H14:H15"/>
    <mergeCell ref="A10:L10"/>
    <mergeCell ref="M9:O9"/>
    <mergeCell ref="M14:M15"/>
    <mergeCell ref="N14:N15"/>
    <mergeCell ref="O14:O15"/>
    <mergeCell ref="E11:O11"/>
    <mergeCell ref="A11:B14"/>
    <mergeCell ref="L14:L15"/>
    <mergeCell ref="F14:F15"/>
    <mergeCell ref="G14:G15"/>
    <mergeCell ref="A34:A42"/>
    <mergeCell ref="B34:B42"/>
    <mergeCell ref="A16:A24"/>
    <mergeCell ref="B16:B24"/>
    <mergeCell ref="C16:C24"/>
    <mergeCell ref="A25:A33"/>
    <mergeCell ref="B25:B33"/>
    <mergeCell ref="C25:C33"/>
    <mergeCell ref="A61:A69"/>
    <mergeCell ref="B61:B69"/>
    <mergeCell ref="C61:C69"/>
    <mergeCell ref="C34:C42"/>
    <mergeCell ref="A43:A51"/>
    <mergeCell ref="B43:B51"/>
    <mergeCell ref="C43:C51"/>
    <mergeCell ref="A52:A60"/>
    <mergeCell ref="B52:B60"/>
    <mergeCell ref="C52:C60"/>
  </mergeCells>
  <printOptions horizontalCentered="1"/>
  <pageMargins left="0.78740157480314965" right="0.78740157480314965" top="0.59416666666666662" bottom="0.39370078740157483" header="0.51181102362204722" footer="0.31496062992125984"/>
  <pageSetup paperSize="9" scale="72" firstPageNumber="0" fitToHeight="0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4</vt:lpstr>
      <vt:lpstr>5</vt:lpstr>
      <vt:lpstr>6</vt:lpstr>
      <vt:lpstr>'6'!Заголовки_для_печати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пространство</dc:creator>
  <cp:lastModifiedBy>RePack by Diakov</cp:lastModifiedBy>
  <cp:lastPrinted>2020-04-20T07:59:57Z</cp:lastPrinted>
  <dcterms:created xsi:type="dcterms:W3CDTF">2018-07-19T09:59:20Z</dcterms:created>
  <dcterms:modified xsi:type="dcterms:W3CDTF">2020-05-21T05:42:06Z</dcterms:modified>
</cp:coreProperties>
</file>